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Смета для ТЕР МО 421пр (12" sheetId="1" r:id="rId1"/>
    <sheet name="Ведомость объемов работ" sheetId="2" r:id="rId2"/>
    <sheet name="Дефектная ведомость" sheetId="3" r:id="rId3"/>
    <sheet name="Source" sheetId="4" r:id="rId4"/>
    <sheet name="SourceObSm" sheetId="5" r:id="rId5"/>
    <sheet name="SmtRes" sheetId="6" r:id="rId6"/>
    <sheet name="EtalonRes" sheetId="7" r:id="rId7"/>
  </sheets>
  <definedNames>
    <definedName name="_xlnm.Print_Titles" localSheetId="1">'Ведомость объемов работ'!$17:$17</definedName>
    <definedName name="_xlnm.Print_Titles" localSheetId="2">'Дефектная ведомость'!$18:$18</definedName>
    <definedName name="_xlnm.Print_Titles" localSheetId="0">'Смета для ТЕР МО 421пр (12'!$46:$46</definedName>
    <definedName name="_xlnm.Print_Area" localSheetId="1">'Ведомость объемов работ'!$A$1:$H$40</definedName>
    <definedName name="_xlnm.Print_Area" localSheetId="2">'Дефектная ведомость'!$A$1:$E$41</definedName>
    <definedName name="_xlnm.Print_Area" localSheetId="0">'Смета для ТЕР МО 421пр (12'!$A$1:$L$243</definedName>
  </definedNames>
  <calcPr fullCalcOnLoad="1"/>
</workbook>
</file>

<file path=xl/sharedStrings.xml><?xml version="1.0" encoding="utf-8"?>
<sst xmlns="http://schemas.openxmlformats.org/spreadsheetml/2006/main" count="4137" uniqueCount="487">
  <si>
    <t>Smeta.RU  (495) 974-1589</t>
  </si>
  <si>
    <t>_PS_</t>
  </si>
  <si>
    <t>Smeta.RU</t>
  </si>
  <si>
    <t/>
  </si>
  <si>
    <t>ИПУ РАН</t>
  </si>
  <si>
    <t>Выполнение работ по текущему ремонту элементов благоустройства ИПУ РАН</t>
  </si>
  <si>
    <t>Степанова А.М.</t>
  </si>
  <si>
    <t>Ведующий инженер РЕСО</t>
  </si>
  <si>
    <t>Покшин В.И.</t>
  </si>
  <si>
    <t>Заведующий РЕСО</t>
  </si>
  <si>
    <t>Муравьев К.В.</t>
  </si>
  <si>
    <t>Главный инженер</t>
  </si>
  <si>
    <t>Сметные нормы списания</t>
  </si>
  <si>
    <t>Коды ценников</t>
  </si>
  <si>
    <t>ФЕР-2020 И9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</si>
  <si>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</si>
  <si>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</si>
  <si>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жилых и общественных зданий</t>
  </si>
  <si>
    <t>ГСН</t>
  </si>
  <si>
    <t>Горяников С.Л.</t>
  </si>
  <si>
    <t>И.О. Главного инженера</t>
  </si>
  <si>
    <t>Демонтажные работы</t>
  </si>
  <si>
    <t>1</t>
  </si>
  <si>
    <t>27-06-008-01</t>
  </si>
  <si>
    <t>Устройство шва-стыка в асфальтобетонном покрытии</t>
  </si>
  <si>
    <t>100 м</t>
  </si>
  <si>
    <t>ФЕР-2001, 27-06-008-01, приказ Минстроя России № 876/пр от 26.12.2019</t>
  </si>
  <si>
    <t>)*1,25</t>
  </si>
  <si>
    <t>)*1,15</t>
  </si>
  <si>
    <t>)*0,9</t>
  </si>
  <si>
    <t>)*0,85</t>
  </si>
  <si>
    <t>Общестроительные работы</t>
  </si>
  <si>
    <t>Автомобильные дороги</t>
  </si>
  <si>
    <t>ФЕР-27</t>
  </si>
  <si>
    <t>Поправка: М-ка 421/пр 04.08.20 п.58 п.п. б)</t>
  </si>
  <si>
    <t>Пр/812-021.0-1</t>
  </si>
  <si>
    <t>Пр/774-021.0</t>
  </si>
  <si>
    <t>Письмо Минстроя России от 10.03.2023 № 12381-ИФ/09</t>
  </si>
  <si>
    <t>1,1</t>
  </si>
  <si>
    <t>91.06.05-011</t>
  </si>
  <si>
    <t>Погрузчики, грузоподъемность 5 т</t>
  </si>
  <si>
    <t>маш.-ч.</t>
  </si>
  <si>
    <t>ФСЭМ-2001, 91.06.05-011 , приказ Минстроя России № 876/пр от 26.12.2019</t>
  </si>
  <si>
    <t>1,2</t>
  </si>
  <si>
    <t>91.08.04-021</t>
  </si>
  <si>
    <t>Котлы битумные передвижные 400 л</t>
  </si>
  <si>
    <t>ФСЭМ-2001, 91.08.04-021 , приказ Минстроя России № 876/пр от 26.12.2019</t>
  </si>
  <si>
    <t>1,3</t>
  </si>
  <si>
    <t>91.18.01-007</t>
  </si>
  <si>
    <t>Компрессоры передвижные с двигателем внутреннего сгорания, давление до 686 кПа (7 ат), производительность до 5 м3/мин</t>
  </si>
  <si>
    <t>ФСЭМ-2001, 91.18.01-007 , приказ Минстроя России № 876/пр от 26.12.2019</t>
  </si>
  <si>
    <t>2</t>
  </si>
  <si>
    <t>68-14-1</t>
  </si>
  <si>
    <t>Разборка бортовых камней: на бетонном основании</t>
  </si>
  <si>
    <t>ФЕРр-2001, 68-14-1, приказ Минстроя России № 876/пр от 26.12.2019</t>
  </si>
  <si>
    <t>Ремонтно-строительные работы</t>
  </si>
  <si>
    <t>Благоустройство</t>
  </si>
  <si>
    <t>рФЕР-68</t>
  </si>
  <si>
    <t>Пр/812-102.0-1</t>
  </si>
  <si>
    <t>Пр/774-102.0</t>
  </si>
  <si>
    <t>3</t>
  </si>
  <si>
    <t>68-13-1</t>
  </si>
  <si>
    <t>Разборка асфальтобетонных покрытий тротуаров толщиной до 4 см: вручную</t>
  </si>
  <si>
    <t>1000 м2</t>
  </si>
  <si>
    <t>ФЕРр-2001, 68-13-1, приказ Минстроя России № 876/пр от 26.12.2019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</si>
  <si>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</si>
  <si>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</si>
  <si>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</si>
  <si>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</si>
  <si>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</si>
  <si>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</si>
  <si>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</si>
  <si>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</si>
  <si>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</si>
  <si>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</si>
  <si>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</si>
  <si>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</si>
  <si>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</si>
  <si>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</si>
  <si>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</si>
  <si>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</si>
  <si>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</si>
  <si>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</si>
  <si>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</si>
  <si>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</si>
  <si>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</si>
  <si>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</si>
  <si>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</si>
  <si>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</si>
  <si>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</si>
  <si>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</si>
  <si>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</si>
  <si>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</si>
  <si>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</si>
  <si>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</si>
  <si>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</si>
  <si>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</si>
  <si>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</si>
  <si>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</si>
  <si>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</si>
  <si>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</si>
  <si>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</si>
  <si>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</si>
  <si>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</si>
  <si>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</si>
  <si>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</si>
  <si>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</si>
  <si>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</si>
  <si>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</si>
  <si>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</si>
  <si>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</si>
  <si>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</si>
  <si>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</si>
  <si>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</si>
  <si>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</si>
  <si>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</si>
  <si>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</si>
  <si>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</si>
  <si>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</si>
  <si>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</si>
  <si>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</si>
  <si>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Монтажные работы</t>
  </si>
  <si>
    <t>4</t>
  </si>
  <si>
    <t>27-02-010-01</t>
  </si>
  <si>
    <t>Установка бортовых камней бетонных: при цементобетонных покрытиях</t>
  </si>
  <si>
    <t>ФЕР-2001, 27-02-010-01, приказ Минстроя России № 876/пр от 26.12.2019</t>
  </si>
  <si>
    <t>4,1</t>
  </si>
  <si>
    <t>05.2.03.03-0032</t>
  </si>
  <si>
    <t>Камни бортовые БР 100.30.15, бетон В30 (М400), объем 0,043 м3</t>
  </si>
  <si>
    <t>ШТ</t>
  </si>
  <si>
    <t>ФССЦ-2001, 05.2.03.03-0032, приказ Минстроя России № 876/пр от 26.12.2019</t>
  </si>
  <si>
    <t>5</t>
  </si>
  <si>
    <t>27-06-029-01</t>
  </si>
  <si>
    <t>Устройство покрытия из горячих асфальтобетонных смесей асфальтоукладчиками второго типоразмера, толщина слоя 4 см</t>
  </si>
  <si>
    <t>ФЕР-2001 доп. 2, 27-06-029-01, приказ Минстроя России № 294/пр от 01.06.2020</t>
  </si>
  <si>
    <t>5,1</t>
  </si>
  <si>
    <t>04.2.01.01-0033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</si>
  <si>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I, тип В</t>
  </si>
  <si>
    <t>т</t>
  </si>
  <si>
    <t>ФССЦ-2001, 04.2.01.01-0033, приказ Минстроя России № 876/пр от 26.12.2019</t>
  </si>
  <si>
    <t>6</t>
  </si>
  <si>
    <t>27-06-030-01</t>
  </si>
  <si>
    <t>При изменении толщины покрытия на 0,5 см добавлять или исключать к расценке 27-06-029-01 (К=2)</t>
  </si>
  <si>
    <t>ФЕР-2001, 27-06-030-01, приказ Минстроя России № 876/пр от 26.12.2019</t>
  </si>
  <si>
    <t>)*2</t>
  </si>
  <si>
    <t>)*2)*1,25</t>
  </si>
  <si>
    <t>)*2)*1,15</t>
  </si>
  <si>
    <t>Поправка: МДС 81-35.2004, п.4.7  Поправка: М-ка 421/пр 04.08.20 п.58 п.п. б)</t>
  </si>
  <si>
    <t>6,1</t>
  </si>
  <si>
    <t>Новый раздел</t>
  </si>
  <si>
    <t>Разные работы</t>
  </si>
  <si>
    <t>7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</si>
  <si>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</si>
  <si>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</si>
  <si>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</si>
  <si>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</si>
  <si>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</si>
  <si>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</si>
  <si>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8</t>
  </si>
  <si>
    <t>т03-01-01-061</t>
  </si>
  <si>
    <t>Перевозка грузов I класса автомобилями бортовыми грузоподъемностью до 15 т на расстояние: до 61 км</t>
  </si>
  <si>
    <t>ФССЦпг-2001, т03-01-01-061,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</si>
  <si>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</si>
  <si>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</si>
  <si>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</si>
  <si>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Всего материалов</t>
  </si>
  <si>
    <t>итог 2</t>
  </si>
  <si>
    <t>НДС 20%</t>
  </si>
  <si>
    <t>Всего по смете</t>
  </si>
  <si>
    <t>Итого</t>
  </si>
  <si>
    <t>Итого1</t>
  </si>
  <si>
    <t>Итого2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</si>
  <si>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</si>
  <si>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</si>
  <si>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</si>
  <si>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</si>
  <si>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</si>
  <si>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</si>
  <si>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</si>
  <si>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</si>
  <si>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</si>
  <si>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</si>
  <si>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</si>
  <si>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</si>
  <si>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</si>
  <si>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</si>
  <si>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</si>
  <si>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</si>
  <si>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</si>
  <si>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</si>
  <si>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</si>
  <si>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</si>
  <si>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</si>
  <si>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</si>
  <si>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</si>
  <si>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</si>
  <si>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</si>
  <si>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</si>
  <si>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</si>
  <si>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</si>
  <si>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</si>
  <si>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</si>
  <si>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</si>
  <si>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</si>
  <si>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</si>
  <si>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</si>
  <si>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</si>
  <si>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</si>
  <si>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</si>
  <si>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</si>
  <si>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</si>
  <si>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</si>
  <si>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</si>
  <si>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</si>
  <si>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</si>
  <si>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</si>
  <si>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</si>
  <si>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</si>
  <si>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</si>
  <si>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</si>
  <si>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</si>
  <si>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</si>
  <si>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</si>
  <si>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</si>
  <si>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</si>
  <si>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</si>
  <si>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</si>
  <si>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</si>
  <si>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</si>
  <si>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</si>
  <si>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</si>
  <si>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</si>
  <si>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</si>
  <si>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</si>
  <si>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</si>
  <si>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</si>
  <si>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</si>
  <si>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</si>
  <si>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</si>
  <si>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</si>
  <si>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</si>
  <si>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Индексы за итогом</t>
  </si>
  <si>
    <t>_OBSM_</t>
  </si>
  <si>
    <t>1-100-25</t>
  </si>
  <si>
    <t>Затраты труда рабочих (Средний разряд - 2,5)</t>
  </si>
  <si>
    <t>чел.-ч.</t>
  </si>
  <si>
    <t>4-100-00</t>
  </si>
  <si>
    <t>Затраты труда машинистов</t>
  </si>
  <si>
    <t>91.08.06-003</t>
  </si>
  <si>
    <t>ФСЭМ-2001, 91.08.06-003 , приказ Минстроя России № 876/пр от 26.12.2019</t>
  </si>
  <si>
    <t>Нарезчики швов, максимальная глубина резки 200 мм</t>
  </si>
  <si>
    <t>91.08.11-011</t>
  </si>
  <si>
    <t>ФСЭМ-2001, 91.08.11-011 , приказ Минстроя России № 876/пр от 26.12.2019</t>
  </si>
  <si>
    <t>Заливщики швов на базе автомобиля</t>
  </si>
  <si>
    <t>91.13.01-038</t>
  </si>
  <si>
    <t>ФСЭМ-2001, 91.13.01-038 , приказ Минстроя России № 876/пр от 26.12.2019</t>
  </si>
  <si>
    <t>Машины поливомоечные 6000 л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</si>
  <si>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</si>
  <si>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</si>
  <si>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</si>
  <si>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01.2.01.01-0019</t>
  </si>
  <si>
    <t>ФССЦ-2001, 01.2.01.01-0019, приказ Минстроя России № 876/пр от 26.12.2019</t>
  </si>
  <si>
    <t>Битумы нефтяные дорожные вязкие БНД 60/90, БНД 90/130</t>
  </si>
  <si>
    <t>01.2.03.03-0045</t>
  </si>
  <si>
    <t>ФССЦ-2001, 01.2.03.03-0045, приказ Минстроя России № 876/пр от 26.12.2019</t>
  </si>
  <si>
    <t>Мастика битумно-полимерная</t>
  </si>
  <si>
    <t>01.7.03.01-0001</t>
  </si>
  <si>
    <t>ФССЦ-2001, 01.7.03.01-0001, приказ Минстроя России № 876/пр от 26.12.2019</t>
  </si>
  <si>
    <t>Вода</t>
  </si>
  <si>
    <t>м3</t>
  </si>
  <si>
    <t>01.7.07.26-0033</t>
  </si>
  <si>
    <t>ФССЦ-2001, 01.7.07.26-0033, приказ Минстроя России № 876/пр от 26.12.2019</t>
  </si>
  <si>
    <t>Шнур полиуретановый</t>
  </si>
  <si>
    <t>10 м</t>
  </si>
  <si>
    <t>02.3.01.02-1012</t>
  </si>
  <si>
    <t>ФССЦ-2001, 02.3.01.02-1012, приказ Минстроя России № 876/пр от 26.12.2019</t>
  </si>
  <si>
    <t>Песок природный II класс, средний, круглые сита</t>
  </si>
  <si>
    <t>1-100-31</t>
  </si>
  <si>
    <t>Затраты труда рабочих (Средний разряд - 3,1)</t>
  </si>
  <si>
    <t>91.21.10-003</t>
  </si>
  <si>
    <t>ФСЭМ-2001, 91.21.10-003 , приказ Минстроя России № 876/пр от 26.12.2019</t>
  </si>
  <si>
    <t>Молотки при работе от передвижных компрессорных станций отбойные пневматические</t>
  </si>
  <si>
    <t>1-100-20</t>
  </si>
  <si>
    <t>Затраты труда рабочих (Средний разряд - 2)</t>
  </si>
  <si>
    <t>1-100-29</t>
  </si>
  <si>
    <t>Рабочий среднего разряда 2.9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</si>
  <si>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</si>
  <si>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</si>
  <si>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</si>
  <si>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маш.-ч</t>
  </si>
  <si>
    <t>01.7.15.06-0111</t>
  </si>
  <si>
    <t>ФССЦ-2001, 01.7.15.06-0111, приказ Минстроя России № 876/пр от 26.12.2019</t>
  </si>
  <si>
    <t>Гвозди строительные</t>
  </si>
  <si>
    <t>04.1.02.05-0006</t>
  </si>
  <si>
    <t>ФССЦ-2001, 04.1.02.05-0006, приказ Минстроя России № 876/пр от 26.12.2019</t>
  </si>
  <si>
    <t>Смеси бетонные тяжелого бетона (БСТ), класс В15 (М200)</t>
  </si>
  <si>
    <t>04.3.01.09-0014</t>
  </si>
  <si>
    <t>ФССЦ-2001, 04.3.01.09-0014, приказ Минстроя России № 876/пр от 26.12.2019</t>
  </si>
  <si>
    <t>Раствор готовый кладочный, цементный, М100</t>
  </si>
  <si>
    <t>11.1.03.03-0012</t>
  </si>
  <si>
    <t>ФССЦ-2001, 11.1.03.03-0012, приказ Минстроя России № 876/пр от 26.12.2019</t>
  </si>
  <si>
    <t>Брусья необрезные, хвойных пород, длина 4-6,5 м, все ширины, толщина 100, 125 мм, сорт IV</t>
  </si>
  <si>
    <t>1-100-32</t>
  </si>
  <si>
    <t>Рабочий среднего разряда 3.2</t>
  </si>
  <si>
    <t>91.06.03-049</t>
  </si>
  <si>
    <t>ФСЭМ-2001, 91.06.03-049 , приказ Минстроя России № 876/пр от 26.12.2019</t>
  </si>
  <si>
    <t>Лебедки ручные и рычажные тяговым усилием до 9,81 кН (1 т)</t>
  </si>
  <si>
    <t>91.08.01-004</t>
  </si>
  <si>
    <t>ФСЭМ-2001, 91.08.01-004 , приказ Минстроя России № 876/пр от 26.12.2019</t>
  </si>
  <si>
    <t>Асфальтоукладчики гусеничные, ширина укладки от 2 до 5 м, скорость укладки 16 м/мин</t>
  </si>
  <si>
    <t>91.08.03-017</t>
  </si>
  <si>
    <t>ФСЭМ-2001 доп.2, 91.08.03-017, приказ Минстроя России № 294/пр от 01.06.2020</t>
  </si>
  <si>
    <t>Катки самоходные гладкие вибрационные, масса 10 т</t>
  </si>
  <si>
    <t>91.08.03-045</t>
  </si>
  <si>
    <t>ФСЭМ-2001 доп.2, 91.08.03-045, приказ Минстроя России № 294/пр от 01.06.2020</t>
  </si>
  <si>
    <t>Катки самоходные гладкие вибрационные, масса 7 т</t>
  </si>
  <si>
    <t>91.08.03-047</t>
  </si>
  <si>
    <t>ФСЭМ-2001 доп.2, 91.08.03-047, приказ Минстроя России № 294/пр от 01.06.2020</t>
  </si>
  <si>
    <t>Катки самоходные пневмоколесные статические, масса 12 т</t>
  </si>
  <si>
    <t>91.08.03-049</t>
  </si>
  <si>
    <t>ФСЭМ-2001 доп.2, 91.08.03-049, приказ Минстроя России № 294/пр от 01.06.2020</t>
  </si>
  <si>
    <t>Катки самоходные гладкие вибрационные, масса 14 т</t>
  </si>
  <si>
    <t>91.08.06-001</t>
  </si>
  <si>
    <t>ФСЭМ-2001, 91.08.06-001 , приказ Минстроя России № 876/пр от 26.12.2019</t>
  </si>
  <si>
    <t>Нарезчики швов, мощность 20,5 кВт (28 л.с.)</t>
  </si>
  <si>
    <t>91.08.11-031</t>
  </si>
  <si>
    <t>ФСЭМ-2001, 91.08.11-031 , приказ Минстроя России № 876/пр от 26.12.2019</t>
  </si>
  <si>
    <t>Перегружатели асфальтовой смеси, емкость бункера до 25 т</t>
  </si>
  <si>
    <t>91.08.11-041</t>
  </si>
  <si>
    <t>ФСЭМ-2001, 91.08.11-041 , приказ Минстроя России № 876/пр от 26.12.2019</t>
  </si>
  <si>
    <t>Разогреватели швов инфракрасные</t>
  </si>
  <si>
    <t>91.13.03-112</t>
  </si>
  <si>
    <t>ФСЭМ-2001, 91.13.03-112 , приказ Минстроя России № 876/пр от 26.12.2019</t>
  </si>
  <si>
    <t>Спецавтомобили-вездеходы, грузоподъемность до 1,5 т</t>
  </si>
  <si>
    <t>91.18.01-013</t>
  </si>
  <si>
    <t>ФСЭМ-2001, 91.18.01-013 , приказ Минстроя России № 876/пр от 26.12.2019</t>
  </si>
  <si>
    <t>Компрессоры передвижные, давление 2,0 МПа, производительность 60 м3/мин</t>
  </si>
  <si>
    <t>01.2.03.07-0023</t>
  </si>
  <si>
    <t>ФССЦ-2001, 01.2.03.07-0023, приказ Минстроя России № 876/пр от 26.12.2019</t>
  </si>
  <si>
    <t>Эмульсия битумно-дорожная</t>
  </si>
  <si>
    <t>01.7.03.01-0002</t>
  </si>
  <si>
    <t>ФССЦ-2001, 01.7.03.01-0002, приказ Минстроя России № 876/пр от 26.12.2019</t>
  </si>
  <si>
    <t>Вода водопроводная</t>
  </si>
  <si>
    <t>01.7.07.26-0032</t>
  </si>
  <si>
    <t>ФССЦ-2001, 01.7.07.26-0032, приказ Минстроя России № 876/пр от 26.12.2019</t>
  </si>
  <si>
    <t>Шнур полиамидный крученый, диаметр 2 мм</t>
  </si>
  <si>
    <t>01.7.15.02-0051</t>
  </si>
  <si>
    <t>ФССЦ-2001, 01.7.15.02-0051, приказ Минстроя России № 876/пр от 26.12.2019</t>
  </si>
  <si>
    <t>Болты анкерные</t>
  </si>
  <si>
    <t>01.7.17.06-0061</t>
  </si>
  <si>
    <t>ФССЦ-2001, 01.7.17.06-0061, приказ Минстроя России № 876/пр от 26.12.2019</t>
  </si>
  <si>
    <t>Диск алмазный для твердых материалов, диаметр 350 мм</t>
  </si>
  <si>
    <t>08.1.02.11-0001</t>
  </si>
  <si>
    <t>ФССЦ-2001, 08.1.02.11-0001, приказ Минстроя России № 876/пр от 26.12.2019</t>
  </si>
  <si>
    <t>Поковки из квадратных заготовок, масса 1,8 кг</t>
  </si>
  <si>
    <t>08.4.03.02-0007</t>
  </si>
  <si>
    <t>ФССЦ-2001, 08.4.03.02-0007, приказ Минстроя России № 876/пр от 26.12.2019</t>
  </si>
  <si>
    <t>Сталь арматурная, горячекатаная, гладкая, класс А-I, диаметр 20-22 мм</t>
  </si>
  <si>
    <t>1-100-38</t>
  </si>
  <si>
    <t>Рабочий среднего разряда 3.8</t>
  </si>
  <si>
    <t>13.2.03.02</t>
  </si>
  <si>
    <t>Камни бортовые</t>
  </si>
  <si>
    <t>м</t>
  </si>
  <si>
    <t>04.2.01.01</t>
  </si>
  <si>
    <t>Смесь асфальтобетонная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</si>
  <si>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</si>
  <si>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</si>
  <si>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  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</si>
  <si>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</si>
  <si>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</si>
  <si>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2023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</si>
  <si>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</si>
  <si>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</si>
  <si>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</si>
  <si>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</si>
  <si>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</si>
  <si>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</si>
  <si>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</si>
  <si>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</si>
  <si>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</si>
  <si>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</si>
  <si>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</si>
  <si>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</si>
  <si>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</si>
  <si>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</si>
  <si>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</si>
  <si>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</si>
  <si>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</si>
  <si>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</si>
  <si>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</si>
  <si>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</si>
  <si>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</si>
  <si>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</si>
  <si>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</si>
  <si>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</si>
  <si>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</si>
  <si>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</si>
  <si>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</si>
  <si>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</si>
  <si>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</si>
  <si>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</si>
  <si>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</si>
  <si>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</si>
  <si>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</si>
  <si>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</si>
  <si>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</si>
  <si>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</si>
  <si>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II квартал 2023 года (1.01.2000)</t>
  </si>
  <si>
    <t>Раздел: Демонтажные работы</t>
  </si>
  <si>
    <t>ФЕР 27-06-008-01</t>
  </si>
  <si>
    <r>
      <t>Устройство шва-стыка в асфальтобетонном покрытии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</si>
  <si>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ОТ</t>
  </si>
  <si>
    <t>ЭМ</t>
  </si>
  <si>
    <t>в т.ч. ОТм</t>
  </si>
  <si>
    <t>М</t>
  </si>
  <si>
    <t>ЗТ</t>
  </si>
  <si>
    <t>чел-ч</t>
  </si>
  <si>
    <t>ЗТм</t>
  </si>
  <si>
    <t>Итого по расценке</t>
  </si>
  <si>
    <t>ФСЭМ 91.06.05-011</t>
  </si>
  <si>
    <t>ФСЭМ 91.08.04-021</t>
  </si>
  <si>
    <t>ФСЭМ 91.18.01-007</t>
  </si>
  <si>
    <t>ФОТ</t>
  </si>
  <si>
    <t>Пр/812-021.0-1;
п.25</t>
  </si>
  <si>
    <t>НР Автомобильные дороги</t>
  </si>
  <si>
    <t>%</t>
  </si>
  <si>
    <t>Пр/774-021.0;
п.16</t>
  </si>
  <si>
    <t>СП Автомобильные дороги</t>
  </si>
  <si>
    <t>Всего по позиции</t>
  </si>
  <si>
    <t>ФЕРр 68-14-1</t>
  </si>
  <si>
    <t>НР Благоустройство</t>
  </si>
  <si>
    <t>СП Благоустройство</t>
  </si>
  <si>
    <t>ФЕРр 68-13-1</t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</si>
  <si>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</si>
  <si>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</si>
  <si>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</si>
  <si>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</si>
  <si>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</si>
  <si>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</si>
  <si>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</si>
  <si>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</si>
  <si>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</si>
  <si>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</si>
  <si>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</si>
  <si>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</si>
  <si>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</si>
  <si>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</si>
  <si>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</si>
  <si>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Монтажные работы</t>
  </si>
  <si>
    <t>ФЕР 27-02-010-01</t>
  </si>
  <si>
    <r>
      <t>Установка бортовых камней бетонных: при цементобетонных покрытиях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</si>
  <si>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ФССЦ 05.2.03.03-0032</t>
  </si>
  <si>
    <t>ФЕР 27-06-029-01</t>
  </si>
  <si>
    <r>
      <t>Устройство покрытия из горячих асфальтобетонных смесей асфальтоукладчиками второго типоразмера, толщина слоя 4 см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</si>
  <si>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ФССЦ 04.2.01.01-0033</t>
  </si>
  <si>
    <t>ФЕР 27-06-030-01</t>
  </si>
  <si>
    <r>
      <t>При изменении толщины покрытия на 0,5 см добавлять или исключать к расценке 27-06-029-01 (К=2)</t>
    </r>
    <r>
      <rPr>
        <i/>
        <sz val="10"/>
        <rFont val="Arial"/>
        <family val="2"/>
      </rPr>
      <t xml:space="preserve">
Поправки к: 
М )*2;   
ЭМ )*2)*1,25;   
ОТм )*2)*1,25;   
ОТ )*2)*1,15;   
ЗТ )*2)*1,15;   
ЗТм )*2)*1,25;   
НР )*0,9;   
СП )*0,85</t>
    </r>
  </si>
  <si>
    <t>Раздел: Разные работы</t>
  </si>
  <si>
    <t>ФССЦ 01-01-01-041</t>
  </si>
  <si>
    <t>НР Погрузочно-разгрузочные работы</t>
  </si>
  <si>
    <t>СП Погрузочно-разгрузочные работы</t>
  </si>
  <si>
    <t>ФССЦ 03-01-01-061</t>
  </si>
  <si>
    <t>НР Перевозка строительных грузов автомобильным транспортом</t>
  </si>
  <si>
    <t>СП Перевозка строительных грузов автомобильным транспортом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</si>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</sst>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15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right" vertical="center"/>
    </xf>
    <xf numFmtId="165" fontId="17" fillId="0" borderId="14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42"/>
  <sheetViews>
    <sheetView tabSelected="1" zoomScalePageLayoutView="0" workbookViewId="0" topLeftCell="A16">
      <selection activeCell="C230" sqref="C230:H230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01" t="s">
        <v>368</v>
      </c>
      <c r="C3" s="101"/>
      <c r="D3" s="101"/>
      <c r="E3" s="101"/>
      <c r="F3" s="14"/>
      <c r="G3" s="14"/>
      <c r="H3" s="101" t="s">
        <v>369</v>
      </c>
      <c r="I3" s="101"/>
      <c r="J3" s="101"/>
      <c r="K3" s="101"/>
      <c r="L3" s="101"/>
    </row>
    <row r="4" spans="1:12" ht="14.25">
      <c r="A4" s="14"/>
      <c r="B4" s="102"/>
      <c r="C4" s="102"/>
      <c r="D4" s="102"/>
      <c r="E4" s="102"/>
      <c r="F4" s="14"/>
      <c r="G4" s="14"/>
      <c r="H4" s="102" t="s">
        <v>371</v>
      </c>
      <c r="I4" s="102"/>
      <c r="J4" s="102"/>
      <c r="K4" s="102"/>
      <c r="L4" s="102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102" t="str">
        <f>CONCATENATE("______________________ ",IF(Source!AL12&lt;&gt;"",Source!AL12,""))</f>
        <v>______________________ </v>
      </c>
      <c r="C6" s="102"/>
      <c r="D6" s="102"/>
      <c r="E6" s="102"/>
      <c r="F6" s="14"/>
      <c r="G6" s="14"/>
      <c r="H6" s="102" t="str">
        <f>CONCATENATE("______________________ ",IF(Source!AH12&lt;&gt;"",Source!AH12,""))</f>
        <v>______________________ Муравьев К.В.</v>
      </c>
      <c r="I6" s="102"/>
      <c r="J6" s="102"/>
      <c r="K6" s="102"/>
      <c r="L6" s="102"/>
    </row>
    <row r="7" spans="1:12" ht="14.25">
      <c r="A7" s="18"/>
      <c r="B7" s="108" t="s">
        <v>370</v>
      </c>
      <c r="C7" s="108"/>
      <c r="D7" s="108"/>
      <c r="E7" s="108"/>
      <c r="F7" s="14"/>
      <c r="G7" s="14"/>
      <c r="H7" s="108" t="s">
        <v>370</v>
      </c>
      <c r="I7" s="108"/>
      <c r="J7" s="108"/>
      <c r="K7" s="108"/>
      <c r="L7" s="108"/>
    </row>
    <row r="10" spans="1:94" ht="38.25">
      <c r="A10" s="109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CP10" s="75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09" t="s">
        <v>405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5" spans="1:12" ht="15.75">
      <c r="A15" s="18"/>
      <c r="B15" s="103" t="s">
        <v>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8"/>
    </row>
    <row r="16" spans="1:12" ht="14.25">
      <c r="A16" s="20"/>
      <c r="B16" s="104" t="s">
        <v>372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>
      <c r="A18" s="14"/>
      <c r="B18" s="103" t="str">
        <f>IF(Source!G12&lt;&gt;"Новый объект",Source!G12,"")</f>
        <v>Выполнение работ по текущему ремонту элементов благоустройства ИПУ РАН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4"/>
    </row>
    <row r="19" spans="1:12" ht="14.25">
      <c r="A19" s="14"/>
      <c r="B19" s="104" t="s">
        <v>373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05" t="str">
        <f>CONCATENATE("ЛОКАЛЬНАЯ СМЕТА № ",Source!F20," ",Source!CM20)</f>
        <v>ЛОКАЛЬНАЯ СМЕТА №  </v>
      </c>
      <c r="C21" s="105"/>
      <c r="D21" s="105"/>
      <c r="E21" s="105"/>
      <c r="F21" s="105"/>
      <c r="G21" s="105"/>
      <c r="H21" s="105"/>
      <c r="I21" s="105"/>
      <c r="J21" s="105"/>
      <c r="K21" s="105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06">
        <f>IF(Source!G20&lt;&gt;"Новая локальная смета",Source!G20,"")</f>
      </c>
      <c r="C23" s="106"/>
      <c r="D23" s="106"/>
      <c r="E23" s="106"/>
      <c r="F23" s="106"/>
      <c r="G23" s="106"/>
      <c r="H23" s="106"/>
      <c r="I23" s="106"/>
      <c r="J23" s="106"/>
      <c r="K23" s="106"/>
      <c r="L23" s="24"/>
    </row>
    <row r="24" spans="1:12" ht="14.25">
      <c r="A24" s="14"/>
      <c r="B24" s="104" t="s">
        <v>374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375</v>
      </c>
      <c r="B27" s="11"/>
      <c r="C27" s="25" t="s">
        <v>406</v>
      </c>
      <c r="D27" s="11" t="s">
        <v>376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377</v>
      </c>
      <c r="B29" s="11"/>
      <c r="C29" s="107"/>
      <c r="D29" s="107"/>
      <c r="E29" s="107"/>
      <c r="F29" s="107"/>
      <c r="G29" s="107"/>
      <c r="H29" s="11"/>
      <c r="I29" s="11"/>
      <c r="J29" s="11"/>
      <c r="K29" s="11"/>
      <c r="L29" s="26"/>
    </row>
    <row r="30" spans="1:12" ht="12.75">
      <c r="A30" s="27"/>
      <c r="B30" s="28"/>
      <c r="C30" s="122" t="s">
        <v>378</v>
      </c>
      <c r="D30" s="122"/>
      <c r="E30" s="122"/>
      <c r="F30" s="122"/>
      <c r="G30" s="122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407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379</v>
      </c>
      <c r="B34" s="14"/>
      <c r="C34" s="50">
        <f>C37+C38+C39+C40</f>
        <v>499.99</v>
      </c>
      <c r="D34" s="123">
        <f>D37+D38+D39+D40</f>
        <v>31.63</v>
      </c>
      <c r="E34" s="124"/>
      <c r="F34" s="33" t="s">
        <v>380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1"/>
      <c r="E35" s="34"/>
      <c r="F35" s="33"/>
      <c r="G35" s="33" t="s">
        <v>381</v>
      </c>
      <c r="H35" s="34"/>
      <c r="I35" s="34"/>
      <c r="J35" s="34"/>
      <c r="K35" s="14"/>
      <c r="L35" s="14"/>
    </row>
    <row r="36" spans="1:12" ht="14.25">
      <c r="A36" s="14"/>
      <c r="B36" s="35" t="s">
        <v>382</v>
      </c>
      <c r="C36" s="44"/>
      <c r="D36" s="51"/>
      <c r="E36" s="36"/>
      <c r="F36" s="33"/>
      <c r="G36" s="33" t="s">
        <v>383</v>
      </c>
      <c r="H36" s="34" t="s">
        <v>384</v>
      </c>
      <c r="I36" s="37">
        <f>ROUND(SUM(U47:U235)/1000,2)</f>
        <v>88.46</v>
      </c>
      <c r="J36" s="37">
        <f>ROUND((SUM(Q47:Q235))/1000,2)</f>
        <v>2.4</v>
      </c>
      <c r="K36" s="11" t="s">
        <v>380</v>
      </c>
      <c r="L36" s="14"/>
    </row>
    <row r="37" spans="1:12" ht="14.25">
      <c r="A37" s="14"/>
      <c r="B37" s="30" t="s">
        <v>385</v>
      </c>
      <c r="C37" s="50">
        <f>ROUND((Source!P177)/1000,2)</f>
        <v>499.99</v>
      </c>
      <c r="D37" s="123">
        <f>ROUND((SUM(AN47:AN235)+SUM(AR47:AR235))/1000,2)</f>
        <v>31.63</v>
      </c>
      <c r="E37" s="124"/>
      <c r="F37" s="33" t="s">
        <v>380</v>
      </c>
      <c r="G37" s="33" t="s">
        <v>386</v>
      </c>
      <c r="H37" s="34"/>
      <c r="I37" s="33"/>
      <c r="J37" s="52">
        <f>Source!P182</f>
        <v>284.15533000000005</v>
      </c>
      <c r="K37" s="11" t="s">
        <v>245</v>
      </c>
      <c r="L37" s="14"/>
    </row>
    <row r="38" spans="1:12" ht="14.25">
      <c r="A38" s="14"/>
      <c r="B38" s="30" t="s">
        <v>387</v>
      </c>
      <c r="C38" s="50">
        <f>ROUND((Source!P178)/1000,2)</f>
        <v>0</v>
      </c>
      <c r="D38" s="123">
        <f>ROUND((SUM(AX47:AX235)+SUM(BB47:BB235))/1000,2)</f>
        <v>0</v>
      </c>
      <c r="E38" s="124"/>
      <c r="F38" s="33" t="s">
        <v>380</v>
      </c>
      <c r="G38" s="33" t="s">
        <v>388</v>
      </c>
      <c r="H38" s="34"/>
      <c r="I38" s="33"/>
      <c r="J38" s="52">
        <f>Source!P183</f>
        <v>29.8918125</v>
      </c>
      <c r="K38" s="11" t="s">
        <v>245</v>
      </c>
      <c r="L38" s="14"/>
    </row>
    <row r="39" spans="1:12" ht="14.25">
      <c r="A39" s="14"/>
      <c r="B39" s="30" t="s">
        <v>389</v>
      </c>
      <c r="C39" s="50">
        <f>ROUND((Source!P169)/1000,2)</f>
        <v>0</v>
      </c>
      <c r="D39" s="123">
        <f>ROUND((SUM(BH47:BH235)+SUM(BI47:BI235))/1000,2)</f>
        <v>0</v>
      </c>
      <c r="E39" s="124"/>
      <c r="F39" s="33" t="s">
        <v>380</v>
      </c>
      <c r="G39" s="33" t="s">
        <v>390</v>
      </c>
      <c r="H39" s="34"/>
      <c r="I39" s="33"/>
      <c r="J39" s="38"/>
      <c r="K39" s="14"/>
      <c r="L39" s="14"/>
    </row>
    <row r="40" spans="1:12" ht="14.25">
      <c r="A40" s="14"/>
      <c r="B40" s="30" t="s">
        <v>391</v>
      </c>
      <c r="C40" s="50">
        <f>ROUND((Source!P179+Source!P180)/1000,2)</f>
        <v>0</v>
      </c>
      <c r="D40" s="123">
        <f>ROUND((SUM(BM47:BM235)+SUM(BN47:BN235)+SUM(BO47:BO235)+SUM(BP47:BP235))/1000,2)</f>
        <v>0</v>
      </c>
      <c r="E40" s="125"/>
      <c r="F40" s="33" t="s">
        <v>380</v>
      </c>
      <c r="G40" s="33" t="s">
        <v>392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10" t="s">
        <v>393</v>
      </c>
      <c r="B42" s="110" t="s">
        <v>394</v>
      </c>
      <c r="C42" s="110" t="s">
        <v>395</v>
      </c>
      <c r="D42" s="110" t="s">
        <v>396</v>
      </c>
      <c r="E42" s="113" t="s">
        <v>397</v>
      </c>
      <c r="F42" s="114"/>
      <c r="G42" s="115"/>
      <c r="H42" s="113" t="s">
        <v>398</v>
      </c>
      <c r="I42" s="114"/>
      <c r="J42" s="115"/>
      <c r="K42" s="110" t="s">
        <v>399</v>
      </c>
      <c r="L42" s="110" t="s">
        <v>400</v>
      </c>
    </row>
    <row r="43" spans="1:12" ht="12.75">
      <c r="A43" s="111"/>
      <c r="B43" s="111"/>
      <c r="C43" s="111"/>
      <c r="D43" s="111"/>
      <c r="E43" s="116"/>
      <c r="F43" s="117"/>
      <c r="G43" s="118"/>
      <c r="H43" s="116"/>
      <c r="I43" s="117"/>
      <c r="J43" s="118"/>
      <c r="K43" s="111"/>
      <c r="L43" s="111"/>
    </row>
    <row r="44" spans="1:12" ht="12.75">
      <c r="A44" s="111"/>
      <c r="B44" s="111"/>
      <c r="C44" s="111"/>
      <c r="D44" s="111"/>
      <c r="E44" s="119"/>
      <c r="F44" s="120"/>
      <c r="G44" s="121"/>
      <c r="H44" s="119"/>
      <c r="I44" s="120"/>
      <c r="J44" s="121"/>
      <c r="K44" s="111"/>
      <c r="L44" s="111"/>
    </row>
    <row r="45" spans="1:12" ht="25.5">
      <c r="A45" s="112"/>
      <c r="B45" s="112"/>
      <c r="C45" s="112"/>
      <c r="D45" s="112"/>
      <c r="E45" s="40" t="s">
        <v>401</v>
      </c>
      <c r="F45" s="40" t="s">
        <v>402</v>
      </c>
      <c r="G45" s="40" t="s">
        <v>403</v>
      </c>
      <c r="H45" s="40" t="s">
        <v>401</v>
      </c>
      <c r="I45" s="40" t="s">
        <v>402</v>
      </c>
      <c r="J45" s="40" t="s">
        <v>404</v>
      </c>
      <c r="K45" s="112"/>
      <c r="L45" s="112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129" t="s">
        <v>408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56" ht="130.5">
      <c r="A49" s="72">
        <v>1</v>
      </c>
      <c r="B49" s="72" t="s">
        <v>409</v>
      </c>
      <c r="C49" s="72" t="s">
        <v>410</v>
      </c>
      <c r="D49" s="54" t="str">
        <f>Source!DW29</f>
        <v>100 м</v>
      </c>
      <c r="E49" s="55">
        <f>Source!K29</f>
        <v>2.6</v>
      </c>
      <c r="F49" s="55"/>
      <c r="G49" s="55">
        <f>Source!I29</f>
        <v>2.6</v>
      </c>
      <c r="H49" s="49"/>
      <c r="I49" s="56"/>
      <c r="J49" s="49"/>
      <c r="K49" s="56"/>
      <c r="L49" s="49"/>
      <c r="AG49">
        <f>ROUND((Source!AT29/100)*((ROUND(Source!AF29*Source!I29,2)+ROUND(Source!AE29*Source!I29,2))),2)</f>
        <v>930.81</v>
      </c>
      <c r="AH49">
        <f>Source!X29</f>
        <v>34318.96</v>
      </c>
      <c r="AI49">
        <f>ROUND((Source!AU29/100)*((ROUND(Source!AF29*Source!I29,2)+ROUND(Source!AE29*Source!I29,2))),2)</f>
        <v>801.35</v>
      </c>
      <c r="AJ49">
        <f>Source!Y29</f>
        <v>29545.96</v>
      </c>
      <c r="AS49">
        <f>IF(Source!BI29&lt;=1,AH49,0)</f>
        <v>34318.96</v>
      </c>
      <c r="AT49">
        <f>IF(Source!BI29&lt;=1,AJ49,0)</f>
        <v>29545.96</v>
      </c>
      <c r="BC49">
        <f>IF(Source!BI29=2,AH49,0)</f>
        <v>0</v>
      </c>
      <c r="BD49">
        <f>IF(Source!BI29=2,AJ49,0)</f>
        <v>0</v>
      </c>
    </row>
    <row r="50" ht="38.25">
      <c r="B50" s="45" t="str">
        <f>Source!EO29</f>
        <v>Поправка: М-ка 421/пр 04.08.20 п.58 п.п. б)</v>
      </c>
    </row>
    <row r="51" ht="12.75">
      <c r="C51" s="46" t="str">
        <f>"Объем: "&amp;Source!K29&amp;"=260/"&amp;"100"</f>
        <v>Объем: 2,6=260/100</v>
      </c>
    </row>
    <row r="52" spans="1:12" ht="14.25">
      <c r="A52" s="72"/>
      <c r="B52" s="73">
        <v>1</v>
      </c>
      <c r="C52" s="72" t="s">
        <v>411</v>
      </c>
      <c r="D52" s="54"/>
      <c r="E52" s="55"/>
      <c r="F52" s="55"/>
      <c r="G52" s="55"/>
      <c r="H52" s="49">
        <f>Source!AO29</f>
        <v>178.84</v>
      </c>
      <c r="I52" s="56">
        <f>ROUND(1.15,7)</f>
        <v>1.15</v>
      </c>
      <c r="J52" s="49">
        <f>ROUND(Source!AF29*Source!I29,2)</f>
        <v>534.74</v>
      </c>
      <c r="K52" s="56">
        <f>IF(Source!BA29&lt;&gt;0,Source!BA29,1)</f>
        <v>36.87</v>
      </c>
      <c r="L52" s="49">
        <f>Source!S29</f>
        <v>19715.94</v>
      </c>
    </row>
    <row r="53" spans="1:12" ht="14.25">
      <c r="A53" s="72"/>
      <c r="B53" s="73">
        <v>3</v>
      </c>
      <c r="C53" s="72" t="s">
        <v>412</v>
      </c>
      <c r="D53" s="54"/>
      <c r="E53" s="55"/>
      <c r="F53" s="55"/>
      <c r="G53" s="55"/>
      <c r="H53" s="49">
        <f>Source!AM29</f>
        <v>1228.57</v>
      </c>
      <c r="I53" s="56">
        <f>ROUND(1.25,7)</f>
        <v>1.25</v>
      </c>
      <c r="J53" s="49">
        <f>ROUND(((((Source!ET29*ROUND(1.25,7)))-((Source!EU29*ROUND(1.25,7))))+Source!AE29)*Source!I29,2)</f>
        <v>3992.87</v>
      </c>
      <c r="K53" s="56">
        <f>IF(Source!BB29&lt;&gt;0,Source!BB29,1)</f>
        <v>13.09</v>
      </c>
      <c r="L53" s="49">
        <f>Source!Q29</f>
        <v>52266.92</v>
      </c>
    </row>
    <row r="54" spans="1:12" ht="14.25">
      <c r="A54" s="72"/>
      <c r="B54" s="73">
        <v>2</v>
      </c>
      <c r="C54" s="72" t="s">
        <v>413</v>
      </c>
      <c r="D54" s="54"/>
      <c r="E54" s="55"/>
      <c r="F54" s="55"/>
      <c r="G54" s="55"/>
      <c r="H54" s="49">
        <f>Source!AN29</f>
        <v>51.94</v>
      </c>
      <c r="I54" s="56">
        <f>ROUND(1.25,7)</f>
        <v>1.25</v>
      </c>
      <c r="J54" s="57">
        <f>ROUND(Source!AE29*Source!I29,2)</f>
        <v>168.82</v>
      </c>
      <c r="K54" s="56">
        <f>IF(Source!BS29&lt;&gt;0,Source!BS29,1)</f>
        <v>36.87</v>
      </c>
      <c r="L54" s="57">
        <f>Source!R29</f>
        <v>6224.32</v>
      </c>
    </row>
    <row r="55" spans="1:12" ht="14.25">
      <c r="A55" s="72"/>
      <c r="B55" s="73">
        <v>4</v>
      </c>
      <c r="C55" s="72" t="s">
        <v>414</v>
      </c>
      <c r="D55" s="54"/>
      <c r="E55" s="55"/>
      <c r="F55" s="55"/>
      <c r="G55" s="55"/>
      <c r="H55" s="49">
        <f>Source!AL29</f>
        <v>418.42</v>
      </c>
      <c r="I55" s="56"/>
      <c r="J55" s="49">
        <f>ROUND(Source!AC29*Source!I29,2)</f>
        <v>1087.89</v>
      </c>
      <c r="K55" s="56">
        <f>IF(Source!BC29&lt;&gt;0,Source!BC29,1)</f>
        <v>6.65</v>
      </c>
      <c r="L55" s="49">
        <f>Source!P29</f>
        <v>7234.48</v>
      </c>
    </row>
    <row r="56" spans="1:12" ht="14.25">
      <c r="A56" s="72"/>
      <c r="B56" s="72"/>
      <c r="C56" s="72" t="s">
        <v>415</v>
      </c>
      <c r="D56" s="54" t="s">
        <v>416</v>
      </c>
      <c r="E56" s="55">
        <f>Source!AQ29</f>
        <v>21.89</v>
      </c>
      <c r="F56" s="55">
        <f>ROUND(1.15,7)</f>
        <v>1.15</v>
      </c>
      <c r="G56" s="55">
        <f>ROUND(Source!U29,7)</f>
        <v>65.4511</v>
      </c>
      <c r="H56" s="49"/>
      <c r="I56" s="56"/>
      <c r="J56" s="49"/>
      <c r="K56" s="56"/>
      <c r="L56" s="49"/>
    </row>
    <row r="57" spans="1:12" ht="14.25">
      <c r="A57" s="72"/>
      <c r="B57" s="72"/>
      <c r="C57" s="74" t="s">
        <v>417</v>
      </c>
      <c r="D57" s="58" t="s">
        <v>416</v>
      </c>
      <c r="E57" s="59">
        <f>Source!AR29</f>
        <v>4.52</v>
      </c>
      <c r="F57" s="59">
        <f>ROUND(1.25,7)</f>
        <v>1.25</v>
      </c>
      <c r="G57" s="59">
        <f>ROUND(Source!V29,7)</f>
        <v>14.69</v>
      </c>
      <c r="H57" s="60"/>
      <c r="I57" s="61"/>
      <c r="J57" s="60"/>
      <c r="K57" s="61"/>
      <c r="L57" s="60"/>
    </row>
    <row r="58" spans="1:12" ht="14.25">
      <c r="A58" s="72"/>
      <c r="B58" s="72"/>
      <c r="C58" s="72" t="s">
        <v>418</v>
      </c>
      <c r="D58" s="54"/>
      <c r="E58" s="55"/>
      <c r="F58" s="55"/>
      <c r="G58" s="55"/>
      <c r="H58" s="49">
        <f>H52+H53+H55</f>
        <v>1825.83</v>
      </c>
      <c r="I58" s="56"/>
      <c r="J58" s="49">
        <f>J52+J53+J55</f>
        <v>5615.5</v>
      </c>
      <c r="K58" s="56"/>
      <c r="L58" s="49">
        <f>L52+L53+L55</f>
        <v>79217.34</v>
      </c>
    </row>
    <row r="59" spans="1:56" ht="14.25">
      <c r="A59" s="72" t="s">
        <v>38</v>
      </c>
      <c r="B59" s="72" t="s">
        <v>419</v>
      </c>
      <c r="C59" s="72" t="str">
        <f>Source!G31</f>
        <v>Погрузчики, грузоподъемность 5 т</v>
      </c>
      <c r="D59" s="54" t="str">
        <f>Source!DW31</f>
        <v>маш.-ч.</v>
      </c>
      <c r="E59" s="55">
        <f>SmtRes!AT17</f>
        <v>-0.13</v>
      </c>
      <c r="F59" s="55">
        <f>ROUND(1.25,7)</f>
        <v>1.25</v>
      </c>
      <c r="G59" s="99">
        <f>Source!I31</f>
        <v>-0.42249999999999993</v>
      </c>
      <c r="H59" s="49">
        <f>Source!AL31+Source!AO31+Source!AM31</f>
        <v>89.99</v>
      </c>
      <c r="I59" s="56"/>
      <c r="J59" s="49">
        <f>ROUND(Source!AC31*Source!I31,2)+ROUND((((Source!ET31)-(Source!EU31))+Source!AE31)*Source!I31,2)+ROUND(Source!AF31*Source!I31,2)</f>
        <v>-38.02</v>
      </c>
      <c r="K59" s="56">
        <f>IF(Source!BB31&lt;&gt;0,Source!BB31,1)</f>
        <v>13.09</v>
      </c>
      <c r="L59" s="49">
        <f>Source!O31</f>
        <v>-497.69</v>
      </c>
      <c r="X59">
        <f>ROUND(Source!AE31*Source!I31,2)</f>
        <v>-4.25</v>
      </c>
      <c r="Z59">
        <f>Source!R31</f>
        <v>-156.71</v>
      </c>
      <c r="AB59" s="48">
        <f>J59</f>
        <v>-38.02</v>
      </c>
      <c r="AD59" s="48">
        <f>L59</f>
        <v>-497.69</v>
      </c>
      <c r="AG59">
        <f>ROUND((Source!AT31/100)*((ROUND(Source!AF31*Source!I31,2)+ROUND(Source!AE31*Source!I31,2))),2)</f>
        <v>-6.25</v>
      </c>
      <c r="AH59">
        <f>Source!X31</f>
        <v>-230.36</v>
      </c>
      <c r="AI59">
        <f>ROUND((Source!AU31/100)*((ROUND(Source!AF31*Source!I31,2)+ROUND(Source!AE31*Source!I31,2))),2)</f>
        <v>-5.7</v>
      </c>
      <c r="AJ59">
        <f>Source!Y31</f>
        <v>-209.99</v>
      </c>
      <c r="AN59">
        <f>IF(Source!BI31&lt;=1,J59,0)</f>
        <v>-38.02</v>
      </c>
      <c r="AP59">
        <f>IF(Source!BI31&lt;=1,J59,0)</f>
        <v>-38.02</v>
      </c>
      <c r="AS59">
        <f>IF(Source!BI31&lt;=1,AH59,0)</f>
        <v>-230.36</v>
      </c>
      <c r="AT59">
        <f>IF(Source!BI31&lt;=1,AJ59,0)</f>
        <v>-209.99</v>
      </c>
      <c r="AX59">
        <f>IF(Source!BI31=2,J59,0)</f>
        <v>0</v>
      </c>
      <c r="AZ59">
        <f>IF(Source!BI31=2,J59,0)</f>
        <v>0</v>
      </c>
      <c r="BC59">
        <f>IF(Source!BI31=2,AH59,0)</f>
        <v>0</v>
      </c>
      <c r="BD59">
        <f>IF(Source!BI31=2,AJ59,0)</f>
        <v>0</v>
      </c>
    </row>
    <row r="60" spans="1:56" ht="14.25">
      <c r="A60" s="72" t="s">
        <v>43</v>
      </c>
      <c r="B60" s="72" t="s">
        <v>420</v>
      </c>
      <c r="C60" s="72" t="str">
        <f>Source!G33</f>
        <v>Котлы битумные передвижные 400 л</v>
      </c>
      <c r="D60" s="54" t="str">
        <f>Source!DW33</f>
        <v>маш.-ч.</v>
      </c>
      <c r="E60" s="55">
        <f>SmtRes!AT18</f>
        <v>-0.6</v>
      </c>
      <c r="F60" s="55">
        <f>ROUND(1.25,7)</f>
        <v>1.25</v>
      </c>
      <c r="G60" s="55">
        <f>Source!I33</f>
        <v>-1.9500000000000002</v>
      </c>
      <c r="H60" s="49">
        <f>Source!AL33+Source!AO33+Source!AM33</f>
        <v>30</v>
      </c>
      <c r="I60" s="56"/>
      <c r="J60" s="49">
        <f>ROUND(Source!AC33*Source!I33,2)+ROUND((((Source!ET33)-(Source!EU33))+Source!AE33)*Source!I33,2)+ROUND(Source!AF33*Source!I33,2)</f>
        <v>-58.5</v>
      </c>
      <c r="K60" s="56">
        <f>IF(Source!BB33&lt;&gt;0,Source!BB33,1)</f>
        <v>13.09</v>
      </c>
      <c r="L60" s="49">
        <f>Source!O33</f>
        <v>-765.77</v>
      </c>
      <c r="X60">
        <f>ROUND(Source!AE33*Source!I33,2)</f>
        <v>0</v>
      </c>
      <c r="Z60">
        <f>Source!R33</f>
        <v>0</v>
      </c>
      <c r="AB60" s="48">
        <f>J60</f>
        <v>-58.5</v>
      </c>
      <c r="AD60" s="48">
        <f>L60</f>
        <v>-765.77</v>
      </c>
      <c r="AG60">
        <f>ROUND((Source!AT33/100)*((ROUND(Source!AF33*Source!I33,2)+ROUND(Source!AE33*Source!I33,2))),2)</f>
        <v>0</v>
      </c>
      <c r="AH60">
        <f>Source!X33</f>
        <v>0</v>
      </c>
      <c r="AI60">
        <f>ROUND((Source!AU33/100)*((ROUND(Source!AF33*Source!I33,2)+ROUND(Source!AE33*Source!I33,2))),2)</f>
        <v>0</v>
      </c>
      <c r="AJ60">
        <f>Source!Y33</f>
        <v>0</v>
      </c>
      <c r="AN60">
        <f>IF(Source!BI33&lt;=1,J60,0)</f>
        <v>-58.5</v>
      </c>
      <c r="AP60">
        <f>IF(Source!BI33&lt;=1,J60,0)</f>
        <v>-58.5</v>
      </c>
      <c r="AS60">
        <f>IF(Source!BI33&lt;=1,AH60,0)</f>
        <v>0</v>
      </c>
      <c r="AT60">
        <f>IF(Source!BI33&lt;=1,AJ60,0)</f>
        <v>0</v>
      </c>
      <c r="AX60">
        <f>IF(Source!BI33=2,J60,0)</f>
        <v>0</v>
      </c>
      <c r="AZ60">
        <f>IF(Source!BI33=2,J60,0)</f>
        <v>0</v>
      </c>
      <c r="BC60">
        <f>IF(Source!BI33=2,AH60,0)</f>
        <v>0</v>
      </c>
      <c r="BD60">
        <f>IF(Source!BI33=2,AJ60,0)</f>
        <v>0</v>
      </c>
    </row>
    <row r="61" spans="1:56" ht="57">
      <c r="A61" s="72" t="s">
        <v>47</v>
      </c>
      <c r="B61" s="72" t="s">
        <v>421</v>
      </c>
      <c r="C61" s="72" t="str">
        <f>Source!G35</f>
        <v>Компрессоры передвижные с двигателем внутреннего сгорания, давление до 686 кПа (7 ат), производительность до 5 м3/мин</v>
      </c>
      <c r="D61" s="54" t="str">
        <f>Source!DW35</f>
        <v>маш.-ч.</v>
      </c>
      <c r="E61" s="55">
        <f>SmtRes!AT23</f>
        <v>-0.19</v>
      </c>
      <c r="F61" s="55">
        <f>ROUND(1.25,7)</f>
        <v>1.25</v>
      </c>
      <c r="G61" s="99">
        <f>Source!I35</f>
        <v>-0.6175</v>
      </c>
      <c r="H61" s="49">
        <f>Source!AL35+Source!AO35+Source!AM35</f>
        <v>90</v>
      </c>
      <c r="I61" s="56"/>
      <c r="J61" s="49">
        <f>ROUND(Source!AC35*Source!I35,2)+ROUND((((Source!ET35)-(Source!EU35))+Source!AE35)*Source!I35,2)+ROUND(Source!AF35*Source!I35,2)</f>
        <v>-55.58</v>
      </c>
      <c r="K61" s="56">
        <f>IF(Source!BB35&lt;&gt;0,Source!BB35,1)</f>
        <v>13.09</v>
      </c>
      <c r="L61" s="49">
        <f>Source!O35</f>
        <v>-727.48</v>
      </c>
      <c r="X61">
        <f>ROUND(Source!AE35*Source!I35,2)</f>
        <v>-6.21</v>
      </c>
      <c r="Z61">
        <f>Source!R35</f>
        <v>-229.04</v>
      </c>
      <c r="AB61" s="48">
        <f>J61</f>
        <v>-55.58</v>
      </c>
      <c r="AD61" s="48">
        <f>L61</f>
        <v>-727.48</v>
      </c>
      <c r="AG61">
        <f>ROUND((Source!AT35/100)*((ROUND(Source!AF35*Source!I35,2)+ROUND(Source!AE35*Source!I35,2))),2)</f>
        <v>-9.13</v>
      </c>
      <c r="AH61">
        <f>Source!X35</f>
        <v>-336.69</v>
      </c>
      <c r="AI61">
        <f>ROUND((Source!AU35/100)*((ROUND(Source!AF35*Source!I35,2)+ROUND(Source!AE35*Source!I35,2))),2)</f>
        <v>-8.32</v>
      </c>
      <c r="AJ61">
        <f>Source!Y35</f>
        <v>-306.91</v>
      </c>
      <c r="AN61">
        <f>IF(Source!BI35&lt;=1,J61,0)</f>
        <v>-55.58</v>
      </c>
      <c r="AP61">
        <f>IF(Source!BI35&lt;=1,J61,0)</f>
        <v>-55.58</v>
      </c>
      <c r="AS61">
        <f>IF(Source!BI35&lt;=1,AH61,0)</f>
        <v>-336.69</v>
      </c>
      <c r="AT61">
        <f>IF(Source!BI35&lt;=1,AJ61,0)</f>
        <v>-306.91</v>
      </c>
      <c r="AX61">
        <f>IF(Source!BI35=2,J61,0)</f>
        <v>0</v>
      </c>
      <c r="AZ61">
        <f>IF(Source!BI35=2,J61,0)</f>
        <v>0</v>
      </c>
      <c r="BC61">
        <f>IF(Source!BI35=2,AH61,0)</f>
        <v>0</v>
      </c>
      <c r="BD61">
        <f>IF(Source!BI35=2,AJ61,0)</f>
        <v>0</v>
      </c>
    </row>
    <row r="62" spans="1:12" ht="14.25">
      <c r="A62" s="72"/>
      <c r="B62" s="72"/>
      <c r="C62" s="72" t="s">
        <v>422</v>
      </c>
      <c r="D62" s="54"/>
      <c r="E62" s="55"/>
      <c r="F62" s="55"/>
      <c r="G62" s="55"/>
      <c r="H62" s="49"/>
      <c r="I62" s="56"/>
      <c r="J62" s="49">
        <f>SUM(Q49:Q65)+SUM(V49:V65)+SUM(X49:X65)+SUM(Y49:Y65)</f>
        <v>693.1</v>
      </c>
      <c r="K62" s="56"/>
      <c r="L62" s="49">
        <f>SUM(U49:U65)+SUM(W49:W65)+SUM(Z49:Z65)+SUM(AA49:AA65)</f>
        <v>25554.51</v>
      </c>
    </row>
    <row r="63" spans="1:12" ht="28.5">
      <c r="A63" s="72"/>
      <c r="B63" s="72" t="s">
        <v>423</v>
      </c>
      <c r="C63" s="72" t="s">
        <v>424</v>
      </c>
      <c r="D63" s="54" t="s">
        <v>425</v>
      </c>
      <c r="E63" s="55">
        <f>Source!BZ29</f>
        <v>147</v>
      </c>
      <c r="F63" s="55">
        <f>ROUND(0.9,7)</f>
        <v>0.9</v>
      </c>
      <c r="G63" s="55">
        <f>Source!AT29</f>
        <v>132.3</v>
      </c>
      <c r="H63" s="49"/>
      <c r="I63" s="56"/>
      <c r="J63" s="49">
        <f>SUM(AG49:AG65)</f>
        <v>915.43</v>
      </c>
      <c r="K63" s="56"/>
      <c r="L63" s="49">
        <f>SUM(AH49:AH65)</f>
        <v>33751.909999999996</v>
      </c>
    </row>
    <row r="64" spans="1:12" ht="28.5">
      <c r="A64" s="74"/>
      <c r="B64" s="74" t="s">
        <v>426</v>
      </c>
      <c r="C64" s="74" t="s">
        <v>427</v>
      </c>
      <c r="D64" s="58" t="s">
        <v>425</v>
      </c>
      <c r="E64" s="59">
        <f>Source!CA29</f>
        <v>134</v>
      </c>
      <c r="F64" s="59">
        <f>ROUND(0.85,7)</f>
        <v>0.85</v>
      </c>
      <c r="G64" s="59">
        <f>Source!AU29</f>
        <v>113.9</v>
      </c>
      <c r="H64" s="60"/>
      <c r="I64" s="61"/>
      <c r="J64" s="60">
        <f>SUM(AI49:AI65)</f>
        <v>787.3299999999999</v>
      </c>
      <c r="K64" s="61"/>
      <c r="L64" s="60">
        <f>SUM(AJ49:AJ65)</f>
        <v>29029.059999999998</v>
      </c>
    </row>
    <row r="65" spans="3:53" ht="15">
      <c r="C65" s="133" t="s">
        <v>428</v>
      </c>
      <c r="D65" s="133"/>
      <c r="E65" s="133"/>
      <c r="F65" s="133"/>
      <c r="G65" s="133"/>
      <c r="H65" s="133"/>
      <c r="I65" s="133">
        <f>J52+J53+J55+J63+J64+SUM(J59:J61)</f>
        <v>7166.16</v>
      </c>
      <c r="J65" s="133"/>
      <c r="K65" s="133">
        <f>L52+L53+L55+L63+L64+SUM(L59:L61)</f>
        <v>140007.37</v>
      </c>
      <c r="L65" s="133"/>
      <c r="O65" s="48">
        <f>I65</f>
        <v>7166.16</v>
      </c>
      <c r="P65" s="48">
        <f>K65</f>
        <v>140007.37</v>
      </c>
      <c r="Q65" s="48">
        <f>J52</f>
        <v>534.74</v>
      </c>
      <c r="R65" s="48">
        <f>J52</f>
        <v>534.74</v>
      </c>
      <c r="U65" s="48">
        <f>L52</f>
        <v>19715.94</v>
      </c>
      <c r="X65" s="48">
        <f>J54</f>
        <v>168.82</v>
      </c>
      <c r="Z65" s="48">
        <f>L54</f>
        <v>6224.32</v>
      </c>
      <c r="AB65" s="48">
        <f>J53</f>
        <v>3992.87</v>
      </c>
      <c r="AD65" s="48">
        <f>L53</f>
        <v>52266.92</v>
      </c>
      <c r="AF65" s="48">
        <f>J55</f>
        <v>1087.89</v>
      </c>
      <c r="AN65">
        <f>IF(Source!BI29&lt;=1,J52+J53+J55+J63+J64,0)</f>
        <v>7318.26</v>
      </c>
      <c r="AO65">
        <f>IF(Source!BI29&lt;=1,J55,0)</f>
        <v>1087.89</v>
      </c>
      <c r="AP65">
        <f>IF(Source!BI29&lt;=1,J53,0)</f>
        <v>3992.87</v>
      </c>
      <c r="AQ65">
        <f>IF(Source!BI29&lt;=1,J52,0)</f>
        <v>534.74</v>
      </c>
      <c r="AX65">
        <f>IF(Source!BI29=2,J52+J53+J55+J63+J64,0)</f>
        <v>0</v>
      </c>
      <c r="AY65">
        <f>IF(Source!BI29=2,J55,0)</f>
        <v>0</v>
      </c>
      <c r="AZ65">
        <f>IF(Source!BI29=2,J53,0)</f>
        <v>0</v>
      </c>
      <c r="BA65">
        <f>IF(Source!BI29=2,J52,0)</f>
        <v>0</v>
      </c>
    </row>
    <row r="66" spans="1:56" ht="28.5">
      <c r="A66" s="72">
        <v>2</v>
      </c>
      <c r="B66" s="72" t="s">
        <v>429</v>
      </c>
      <c r="C66" s="72" t="str">
        <f>Source!G37</f>
        <v>Разборка бортовых камней: на бетонном основании</v>
      </c>
      <c r="D66" s="54" t="str">
        <f>Source!DW37</f>
        <v>100 м</v>
      </c>
      <c r="E66" s="55">
        <f>Source!K37</f>
        <v>1.37</v>
      </c>
      <c r="F66" s="55"/>
      <c r="G66" s="55">
        <f>Source!I37</f>
        <v>1.37</v>
      </c>
      <c r="H66" s="49"/>
      <c r="I66" s="56"/>
      <c r="J66" s="49"/>
      <c r="K66" s="56"/>
      <c r="L66" s="49"/>
      <c r="AG66">
        <f>ROUND((Source!AT37/100)*((ROUND(Source!AF37*Source!I37,2)+ROUND(Source!AE37*Source!I37,2))),2)</f>
        <v>956.28</v>
      </c>
      <c r="AH66">
        <f>Source!X37</f>
        <v>35258.15</v>
      </c>
      <c r="AI66">
        <f>ROUND((Source!AU37/100)*((ROUND(Source!AF37*Source!I37,2)+ROUND(Source!AE37*Source!I37,2))),2)</f>
        <v>506.27</v>
      </c>
      <c r="AJ66">
        <f>Source!Y37</f>
        <v>18666.08</v>
      </c>
      <c r="AS66">
        <f>IF(Source!BI37&lt;=1,AH66,0)</f>
        <v>35258.15</v>
      </c>
      <c r="AT66">
        <f>IF(Source!BI37&lt;=1,AJ66,0)</f>
        <v>18666.08</v>
      </c>
      <c r="BC66">
        <f>IF(Source!BI37=2,AH66,0)</f>
        <v>0</v>
      </c>
      <c r="BD66">
        <f>IF(Source!BI37=2,AJ66,0)</f>
        <v>0</v>
      </c>
    </row>
    <row r="68" ht="12.75">
      <c r="C68" s="46" t="str">
        <f>"Объем: "&amp;Source!K37&amp;"=137/"&amp;"100"</f>
        <v>Объем: 1,37=137/100</v>
      </c>
    </row>
    <row r="69" spans="1:12" ht="14.25">
      <c r="A69" s="72"/>
      <c r="B69" s="73">
        <v>1</v>
      </c>
      <c r="C69" s="72" t="s">
        <v>411</v>
      </c>
      <c r="D69" s="54"/>
      <c r="E69" s="55"/>
      <c r="F69" s="55"/>
      <c r="G69" s="55"/>
      <c r="H69" s="49">
        <f>Source!AO37</f>
        <v>589.77</v>
      </c>
      <c r="I69" s="56"/>
      <c r="J69" s="49">
        <f>ROUND(Source!AF37*Source!I37,2)</f>
        <v>807.98</v>
      </c>
      <c r="K69" s="56">
        <f>IF(Source!BA37&lt;&gt;0,Source!BA37,1)</f>
        <v>36.87</v>
      </c>
      <c r="L69" s="49">
        <f>Source!S37</f>
        <v>29790.4</v>
      </c>
    </row>
    <row r="70" spans="1:12" ht="14.25">
      <c r="A70" s="72"/>
      <c r="B70" s="73">
        <v>3</v>
      </c>
      <c r="C70" s="72" t="s">
        <v>412</v>
      </c>
      <c r="D70" s="54"/>
      <c r="E70" s="55"/>
      <c r="F70" s="55"/>
      <c r="G70" s="55"/>
      <c r="H70" s="49">
        <f>Source!AM37</f>
        <v>889.15</v>
      </c>
      <c r="I70" s="56"/>
      <c r="J70" s="49">
        <f>ROUND((((Source!ET37)-(Source!EU37))+Source!AE37)*Source!I37,2)</f>
        <v>1218.14</v>
      </c>
      <c r="K70" s="56">
        <f>IF(Source!BB37&lt;&gt;0,Source!BB37,1)</f>
        <v>13.09</v>
      </c>
      <c r="L70" s="49">
        <f>Source!Q37</f>
        <v>15945.39</v>
      </c>
    </row>
    <row r="71" spans="1:12" ht="14.25">
      <c r="A71" s="72"/>
      <c r="B71" s="73">
        <v>2</v>
      </c>
      <c r="C71" s="72" t="s">
        <v>413</v>
      </c>
      <c r="D71" s="54"/>
      <c r="E71" s="55"/>
      <c r="F71" s="55"/>
      <c r="G71" s="55"/>
      <c r="H71" s="49">
        <f>Source!AN37</f>
        <v>94.56</v>
      </c>
      <c r="I71" s="56"/>
      <c r="J71" s="57">
        <f>ROUND(Source!AE37*Source!I37,2)</f>
        <v>129.55</v>
      </c>
      <c r="K71" s="56">
        <f>IF(Source!BS37&lt;&gt;0,Source!BS37,1)</f>
        <v>36.87</v>
      </c>
      <c r="L71" s="57">
        <f>Source!R37</f>
        <v>4776.41</v>
      </c>
    </row>
    <row r="72" spans="1:12" ht="14.25">
      <c r="A72" s="72"/>
      <c r="B72" s="73">
        <v>4</v>
      </c>
      <c r="C72" s="72" t="s">
        <v>414</v>
      </c>
      <c r="D72" s="54"/>
      <c r="E72" s="55"/>
      <c r="F72" s="55"/>
      <c r="G72" s="55"/>
      <c r="H72" s="49">
        <f>Source!AL37</f>
        <v>0</v>
      </c>
      <c r="I72" s="56"/>
      <c r="J72" s="49">
        <f>ROUND(Source!AC37*Source!I37,2)</f>
        <v>0</v>
      </c>
      <c r="K72" s="56">
        <f>IF(Source!BC37&lt;&gt;0,Source!BC37,1)</f>
        <v>6.65</v>
      </c>
      <c r="L72" s="49">
        <f>Source!P37</f>
        <v>0</v>
      </c>
    </row>
    <row r="73" spans="1:12" ht="14.25">
      <c r="A73" s="72"/>
      <c r="B73" s="72"/>
      <c r="C73" s="72" t="s">
        <v>415</v>
      </c>
      <c r="D73" s="54" t="s">
        <v>416</v>
      </c>
      <c r="E73" s="55">
        <f>Source!AQ37</f>
        <v>68.26</v>
      </c>
      <c r="F73" s="55"/>
      <c r="G73" s="99">
        <f>ROUND(Source!U37,7)</f>
        <v>93.5162</v>
      </c>
      <c r="H73" s="49"/>
      <c r="I73" s="56"/>
      <c r="J73" s="49"/>
      <c r="K73" s="56"/>
      <c r="L73" s="49"/>
    </row>
    <row r="74" spans="1:12" ht="14.25">
      <c r="A74" s="72"/>
      <c r="B74" s="72"/>
      <c r="C74" s="74" t="s">
        <v>417</v>
      </c>
      <c r="D74" s="58" t="s">
        <v>416</v>
      </c>
      <c r="E74" s="59">
        <f>Source!AR37</f>
        <v>9.4</v>
      </c>
      <c r="F74" s="59"/>
      <c r="G74" s="100">
        <f>ROUND(Source!V37,7)</f>
        <v>12.878</v>
      </c>
      <c r="H74" s="60"/>
      <c r="I74" s="61"/>
      <c r="J74" s="60"/>
      <c r="K74" s="61"/>
      <c r="L74" s="60"/>
    </row>
    <row r="75" spans="1:12" ht="14.25">
      <c r="A75" s="72"/>
      <c r="B75" s="72"/>
      <c r="C75" s="72" t="s">
        <v>418</v>
      </c>
      <c r="D75" s="54"/>
      <c r="E75" s="55"/>
      <c r="F75" s="55"/>
      <c r="G75" s="55"/>
      <c r="H75" s="49">
        <f>H69+H70+H72</f>
        <v>1478.92</v>
      </c>
      <c r="I75" s="56"/>
      <c r="J75" s="49">
        <f>J69+J70+J72</f>
        <v>2026.1200000000001</v>
      </c>
      <c r="K75" s="56"/>
      <c r="L75" s="49">
        <f>L69+L70+L72</f>
        <v>45735.79</v>
      </c>
    </row>
    <row r="76" spans="1:12" ht="14.25">
      <c r="A76" s="72"/>
      <c r="B76" s="72"/>
      <c r="C76" s="72" t="s">
        <v>422</v>
      </c>
      <c r="D76" s="54"/>
      <c r="E76" s="55"/>
      <c r="F76" s="55"/>
      <c r="G76" s="55"/>
      <c r="H76" s="49"/>
      <c r="I76" s="56"/>
      <c r="J76" s="49">
        <f>SUM(Q66:Q79)+SUM(V66:V79)+SUM(X66:X79)+SUM(Y66:Y79)</f>
        <v>937.53</v>
      </c>
      <c r="K76" s="56"/>
      <c r="L76" s="49">
        <f>SUM(U66:U79)+SUM(W66:W79)+SUM(Z66:Z79)+SUM(AA66:AA79)</f>
        <v>34566.81</v>
      </c>
    </row>
    <row r="77" spans="1:12" ht="14.25">
      <c r="A77" s="72"/>
      <c r="B77" s="72" t="s">
        <v>58</v>
      </c>
      <c r="C77" s="72" t="s">
        <v>430</v>
      </c>
      <c r="D77" s="54" t="s">
        <v>425</v>
      </c>
      <c r="E77" s="55">
        <f>Source!BZ37</f>
        <v>102</v>
      </c>
      <c r="F77" s="55"/>
      <c r="G77" s="55">
        <f>Source!AT37</f>
        <v>102</v>
      </c>
      <c r="H77" s="49"/>
      <c r="I77" s="56"/>
      <c r="J77" s="49">
        <f>SUM(AG66:AG79)</f>
        <v>956.28</v>
      </c>
      <c r="K77" s="56"/>
      <c r="L77" s="49">
        <f>SUM(AH66:AH79)</f>
        <v>35258.15</v>
      </c>
    </row>
    <row r="78" spans="1:12" ht="14.25">
      <c r="A78" s="74"/>
      <c r="B78" s="74" t="s">
        <v>59</v>
      </c>
      <c r="C78" s="74" t="s">
        <v>431</v>
      </c>
      <c r="D78" s="58" t="s">
        <v>425</v>
      </c>
      <c r="E78" s="59">
        <f>Source!CA37</f>
        <v>54</v>
      </c>
      <c r="F78" s="59"/>
      <c r="G78" s="59">
        <f>Source!AU37</f>
        <v>54</v>
      </c>
      <c r="H78" s="60"/>
      <c r="I78" s="61"/>
      <c r="J78" s="60">
        <f>SUM(AI66:AI79)</f>
        <v>506.27</v>
      </c>
      <c r="K78" s="61"/>
      <c r="L78" s="60">
        <f>SUM(AJ66:AJ79)</f>
        <v>18666.08</v>
      </c>
    </row>
    <row r="79" spans="3:53" ht="15">
      <c r="C79" s="133" t="s">
        <v>428</v>
      </c>
      <c r="D79" s="133"/>
      <c r="E79" s="133"/>
      <c r="F79" s="133"/>
      <c r="G79" s="133"/>
      <c r="H79" s="133"/>
      <c r="I79" s="133">
        <f>J69+J70+J72+J77+J78</f>
        <v>3488.67</v>
      </c>
      <c r="J79" s="133"/>
      <c r="K79" s="133">
        <f>L69+L70+L72+L77+L78</f>
        <v>99660.02</v>
      </c>
      <c r="L79" s="133"/>
      <c r="O79" s="48">
        <f>I79</f>
        <v>3488.67</v>
      </c>
      <c r="P79" s="48">
        <f>K79</f>
        <v>99660.02</v>
      </c>
      <c r="Q79" s="48">
        <f>J69</f>
        <v>807.98</v>
      </c>
      <c r="R79" s="48">
        <f>J69</f>
        <v>807.98</v>
      </c>
      <c r="U79" s="48">
        <f>L69</f>
        <v>29790.4</v>
      </c>
      <c r="X79" s="48">
        <f>J71</f>
        <v>129.55</v>
      </c>
      <c r="Z79" s="48">
        <f>L71</f>
        <v>4776.41</v>
      </c>
      <c r="AB79" s="48">
        <f>J70</f>
        <v>1218.14</v>
      </c>
      <c r="AD79" s="48">
        <f>L70</f>
        <v>15945.39</v>
      </c>
      <c r="AF79" s="48">
        <f>J72</f>
        <v>0</v>
      </c>
      <c r="AN79">
        <f>IF(Source!BI37&lt;=1,J69+J70+J72+J77+J78,0)</f>
        <v>3488.67</v>
      </c>
      <c r="AO79">
        <f>IF(Source!BI37&lt;=1,J72,0)</f>
        <v>0</v>
      </c>
      <c r="AP79">
        <f>IF(Source!BI37&lt;=1,J70,0)</f>
        <v>1218.14</v>
      </c>
      <c r="AQ79">
        <f>IF(Source!BI37&lt;=1,J69,0)</f>
        <v>807.98</v>
      </c>
      <c r="AX79">
        <f>IF(Source!BI37=2,J69+J70+J72+J77+J78,0)</f>
        <v>0</v>
      </c>
      <c r="AY79">
        <f>IF(Source!BI37=2,J72,0)</f>
        <v>0</v>
      </c>
      <c r="AZ79">
        <f>IF(Source!BI37=2,J70,0)</f>
        <v>0</v>
      </c>
      <c r="BA79">
        <f>IF(Source!BI37=2,J69,0)</f>
        <v>0</v>
      </c>
    </row>
    <row r="80" spans="1:56" ht="28.5">
      <c r="A80" s="72">
        <v>3</v>
      </c>
      <c r="B80" s="72" t="s">
        <v>432</v>
      </c>
      <c r="C80" s="72" t="str">
        <f>Source!G39</f>
        <v>Разборка асфальтобетонных покрытий тротуаров толщиной до 4 см: вручную</v>
      </c>
      <c r="D80" s="54" t="str">
        <f>Source!DW39</f>
        <v>1000 м2</v>
      </c>
      <c r="E80" s="55">
        <f>Source!K39</f>
        <v>0.075</v>
      </c>
      <c r="F80" s="55"/>
      <c r="G80" s="55">
        <f>Source!I39</f>
        <v>0.075</v>
      </c>
      <c r="H80" s="49"/>
      <c r="I80" s="56"/>
      <c r="J80" s="49"/>
      <c r="K80" s="56"/>
      <c r="L80" s="49"/>
      <c r="AG80">
        <f>ROUND((Source!AT39/100)*((ROUND(Source!AF39*Source!I39,2)+ROUND(Source!AE39*Source!I39,2))),2)</f>
        <v>35.57</v>
      </c>
      <c r="AH80">
        <f>Source!X39</f>
        <v>1311.22</v>
      </c>
      <c r="AI80">
        <f>ROUND((Source!AU39/100)*((ROUND(Source!AF39*Source!I39,2)+ROUND(Source!AE39*Source!I39,2))),2)</f>
        <v>18.83</v>
      </c>
      <c r="AJ80">
        <f>Source!Y39</f>
        <v>694.18</v>
      </c>
      <c r="AS80">
        <f>IF(Source!BI39&lt;=1,AH80,0)</f>
        <v>1311.22</v>
      </c>
      <c r="AT80">
        <f>IF(Source!BI39&lt;=1,AJ80,0)</f>
        <v>694.18</v>
      </c>
      <c r="BC80">
        <f>IF(Source!BI39=2,AH80,0)</f>
        <v>0</v>
      </c>
      <c r="BD80">
        <f>IF(Source!BI39=2,AJ80,0)</f>
        <v>0</v>
      </c>
    </row>
    <row r="82" ht="12.75">
      <c r="C82" s="46" t="str">
        <f>"Объем: "&amp;Source!K39&amp;"=75/"&amp;"1000"</f>
        <v>Объем: 0,075=75/1000</v>
      </c>
    </row>
    <row r="83" spans="1:12" ht="14.25">
      <c r="A83" s="72"/>
      <c r="B83" s="73">
        <v>1</v>
      </c>
      <c r="C83" s="72" t="s">
        <v>411</v>
      </c>
      <c r="D83" s="54"/>
      <c r="E83" s="55"/>
      <c r="F83" s="55"/>
      <c r="G83" s="55"/>
      <c r="H83" s="49">
        <f>Source!AO39</f>
        <v>464.88</v>
      </c>
      <c r="I83" s="56"/>
      <c r="J83" s="49">
        <f>ROUND(Source!AF39*Source!I39,2)</f>
        <v>34.87</v>
      </c>
      <c r="K83" s="56">
        <f>IF(Source!BA39&lt;&gt;0,Source!BA39,1)</f>
        <v>36.87</v>
      </c>
      <c r="L83" s="49">
        <f>Source!S39</f>
        <v>1285.51</v>
      </c>
    </row>
    <row r="84" spans="1:12" ht="14.25">
      <c r="A84" s="72"/>
      <c r="B84" s="73">
        <v>3</v>
      </c>
      <c r="C84" s="72" t="s">
        <v>412</v>
      </c>
      <c r="D84" s="54"/>
      <c r="E84" s="55"/>
      <c r="F84" s="55"/>
      <c r="G84" s="55"/>
      <c r="H84" s="49">
        <f>Source!AM39</f>
        <v>0</v>
      </c>
      <c r="I84" s="56"/>
      <c r="J84" s="49">
        <f>ROUND((((Source!ET39)-(Source!EU39))+Source!AE39)*Source!I39,2)</f>
        <v>0</v>
      </c>
      <c r="K84" s="56">
        <f>IF(Source!BB39&lt;&gt;0,Source!BB39,1)</f>
        <v>13.09</v>
      </c>
      <c r="L84" s="49">
        <f>Source!Q39</f>
        <v>0</v>
      </c>
    </row>
    <row r="85" spans="1:12" ht="14.25">
      <c r="A85" s="72"/>
      <c r="B85" s="73">
        <v>2</v>
      </c>
      <c r="C85" s="72" t="s">
        <v>413</v>
      </c>
      <c r="D85" s="54"/>
      <c r="E85" s="55"/>
      <c r="F85" s="55"/>
      <c r="G85" s="55"/>
      <c r="H85" s="49">
        <f>Source!AN39</f>
        <v>0</v>
      </c>
      <c r="I85" s="56"/>
      <c r="J85" s="57">
        <f>ROUND(Source!AE39*Source!I39,2)</f>
        <v>0</v>
      </c>
      <c r="K85" s="56">
        <f>IF(Source!BS39&lt;&gt;0,Source!BS39,1)</f>
        <v>36.87</v>
      </c>
      <c r="L85" s="57">
        <f>Source!R39</f>
        <v>0</v>
      </c>
    </row>
    <row r="86" spans="1:12" ht="14.25">
      <c r="A86" s="72"/>
      <c r="B86" s="73">
        <v>4</v>
      </c>
      <c r="C86" s="72" t="s">
        <v>414</v>
      </c>
      <c r="D86" s="54"/>
      <c r="E86" s="55"/>
      <c r="F86" s="55"/>
      <c r="G86" s="55"/>
      <c r="H86" s="49">
        <f>Source!AL39</f>
        <v>0</v>
      </c>
      <c r="I86" s="56"/>
      <c r="J86" s="49">
        <f>ROUND(Source!AC39*Source!I39,2)</f>
        <v>0</v>
      </c>
      <c r="K86" s="56">
        <f>IF(Source!BC39&lt;&gt;0,Source!BC39,1)</f>
        <v>6.65</v>
      </c>
      <c r="L86" s="49">
        <f>Source!P39</f>
        <v>0</v>
      </c>
    </row>
    <row r="87" spans="1:12" ht="14.25">
      <c r="A87" s="72"/>
      <c r="B87" s="72"/>
      <c r="C87" s="72" t="s">
        <v>415</v>
      </c>
      <c r="D87" s="54" t="s">
        <v>416</v>
      </c>
      <c r="E87" s="55">
        <f>Source!AQ39</f>
        <v>59.6</v>
      </c>
      <c r="F87" s="55"/>
      <c r="G87" s="55">
        <f>ROUND(Source!U39,7)</f>
        <v>4.47</v>
      </c>
      <c r="H87" s="49"/>
      <c r="I87" s="56"/>
      <c r="J87" s="49"/>
      <c r="K87" s="56"/>
      <c r="L87" s="49"/>
    </row>
    <row r="88" spans="1:12" ht="14.25">
      <c r="A88" s="72"/>
      <c r="B88" s="72"/>
      <c r="C88" s="74" t="s">
        <v>417</v>
      </c>
      <c r="D88" s="58" t="s">
        <v>416</v>
      </c>
      <c r="E88" s="59">
        <f>Source!AR39</f>
        <v>0</v>
      </c>
      <c r="F88" s="59"/>
      <c r="G88" s="59">
        <f>ROUND(Source!V39,7)</f>
        <v>0</v>
      </c>
      <c r="H88" s="60"/>
      <c r="I88" s="61"/>
      <c r="J88" s="60"/>
      <c r="K88" s="61"/>
      <c r="L88" s="60"/>
    </row>
    <row r="89" spans="1:12" ht="14.25">
      <c r="A89" s="72"/>
      <c r="B89" s="72"/>
      <c r="C89" s="72" t="s">
        <v>418</v>
      </c>
      <c r="D89" s="54"/>
      <c r="E89" s="55"/>
      <c r="F89" s="55"/>
      <c r="G89" s="55"/>
      <c r="H89" s="49">
        <f>H83+H84+H86</f>
        <v>464.88</v>
      </c>
      <c r="I89" s="56"/>
      <c r="J89" s="49">
        <f>J83+J84+J86</f>
        <v>34.87</v>
      </c>
      <c r="K89" s="56"/>
      <c r="L89" s="49">
        <f>L83+L84+L86</f>
        <v>1285.51</v>
      </c>
    </row>
    <row r="90" spans="1:12" ht="14.25">
      <c r="A90" s="72"/>
      <c r="B90" s="72"/>
      <c r="C90" s="72" t="s">
        <v>422</v>
      </c>
      <c r="D90" s="54"/>
      <c r="E90" s="55"/>
      <c r="F90" s="55"/>
      <c r="G90" s="55"/>
      <c r="H90" s="49"/>
      <c r="I90" s="56"/>
      <c r="J90" s="49">
        <f>SUM(Q80:Q93)+SUM(V80:V93)+SUM(X80:X93)+SUM(Y80:Y93)</f>
        <v>34.87</v>
      </c>
      <c r="K90" s="56"/>
      <c r="L90" s="49">
        <f>SUM(U80:U93)+SUM(W80:W93)+SUM(Z80:Z93)+SUM(AA80:AA93)</f>
        <v>1285.51</v>
      </c>
    </row>
    <row r="91" spans="1:12" ht="14.25">
      <c r="A91" s="72"/>
      <c r="B91" s="72" t="s">
        <v>58</v>
      </c>
      <c r="C91" s="72" t="s">
        <v>430</v>
      </c>
      <c r="D91" s="54" t="s">
        <v>425</v>
      </c>
      <c r="E91" s="55">
        <f>Source!BZ39</f>
        <v>102</v>
      </c>
      <c r="F91" s="55"/>
      <c r="G91" s="55">
        <f>Source!AT39</f>
        <v>102</v>
      </c>
      <c r="H91" s="49"/>
      <c r="I91" s="56"/>
      <c r="J91" s="49">
        <f>SUM(AG80:AG93)</f>
        <v>35.57</v>
      </c>
      <c r="K91" s="56"/>
      <c r="L91" s="49">
        <f>SUM(AH80:AH93)</f>
        <v>1311.22</v>
      </c>
    </row>
    <row r="92" spans="1:12" ht="14.25">
      <c r="A92" s="74"/>
      <c r="B92" s="74" t="s">
        <v>59</v>
      </c>
      <c r="C92" s="74" t="s">
        <v>431</v>
      </c>
      <c r="D92" s="58" t="s">
        <v>425</v>
      </c>
      <c r="E92" s="59">
        <f>Source!CA39</f>
        <v>54</v>
      </c>
      <c r="F92" s="59"/>
      <c r="G92" s="59">
        <f>Source!AU39</f>
        <v>54</v>
      </c>
      <c r="H92" s="60"/>
      <c r="I92" s="61"/>
      <c r="J92" s="60">
        <f>SUM(AI80:AI93)</f>
        <v>18.83</v>
      </c>
      <c r="K92" s="61"/>
      <c r="L92" s="60">
        <f>SUM(AJ80:AJ93)</f>
        <v>694.18</v>
      </c>
    </row>
    <row r="93" spans="3:53" ht="15">
      <c r="C93" s="133" t="s">
        <v>428</v>
      </c>
      <c r="D93" s="133"/>
      <c r="E93" s="133"/>
      <c r="F93" s="133"/>
      <c r="G93" s="133"/>
      <c r="H93" s="133"/>
      <c r="I93" s="133">
        <f>J83+J84+J86+J91+J92</f>
        <v>89.27</v>
      </c>
      <c r="J93" s="133"/>
      <c r="K93" s="133">
        <f>L83+L84+L86+L91+L92</f>
        <v>3290.91</v>
      </c>
      <c r="L93" s="133"/>
      <c r="O93" s="48">
        <f>I93</f>
        <v>89.27</v>
      </c>
      <c r="P93" s="48">
        <f>K93</f>
        <v>3290.91</v>
      </c>
      <c r="Q93" s="48">
        <f>J83</f>
        <v>34.87</v>
      </c>
      <c r="R93" s="48">
        <f>J83</f>
        <v>34.87</v>
      </c>
      <c r="U93" s="48">
        <f>L83</f>
        <v>1285.51</v>
      </c>
      <c r="X93" s="48">
        <f>J85</f>
        <v>0</v>
      </c>
      <c r="Z93" s="48">
        <f>L85</f>
        <v>0</v>
      </c>
      <c r="AB93" s="48">
        <f>J84</f>
        <v>0</v>
      </c>
      <c r="AD93" s="48">
        <f>L84</f>
        <v>0</v>
      </c>
      <c r="AF93" s="48">
        <f>J86</f>
        <v>0</v>
      </c>
      <c r="AN93">
        <f>IF(Source!BI39&lt;=1,J83+J84+J86+J91+J92,0)</f>
        <v>89.27</v>
      </c>
      <c r="AO93">
        <f>IF(Source!BI39&lt;=1,J86,0)</f>
        <v>0</v>
      </c>
      <c r="AP93">
        <f>IF(Source!BI39&lt;=1,J84,0)</f>
        <v>0</v>
      </c>
      <c r="AQ93">
        <f>IF(Source!BI39&lt;=1,J83,0)</f>
        <v>34.87</v>
      </c>
      <c r="AX93">
        <f>IF(Source!BI39=2,J83+J84+J86+J91+J92,0)</f>
        <v>0</v>
      </c>
      <c r="AY93">
        <f>IF(Source!BI39=2,J86,0)</f>
        <v>0</v>
      </c>
      <c r="AZ93">
        <f>IF(Source!BI39=2,J84,0)</f>
        <v>0</v>
      </c>
      <c r="BA93">
        <f>IF(Source!BI39=2,J83,0)</f>
        <v>0</v>
      </c>
    </row>
    <row r="95" spans="1:95" ht="15">
      <c r="A95" s="64"/>
      <c r="B95" s="65"/>
      <c r="C95" s="134" t="s">
        <v>433</v>
      </c>
      <c r="D95" s="134"/>
      <c r="E95" s="134"/>
      <c r="F95" s="134"/>
      <c r="G95" s="134"/>
      <c r="H95" s="134"/>
      <c r="I95" s="66"/>
      <c r="J95" s="67">
        <f>J97+J98+J99+J100</f>
        <v>7524.39</v>
      </c>
      <c r="K95" s="67"/>
      <c r="L95" s="67">
        <f>L97+L98+L99+L100</f>
        <v>124247.7</v>
      </c>
      <c r="CQ95" s="76" t="s">
        <v>433</v>
      </c>
    </row>
    <row r="96" spans="1:12" ht="14.25">
      <c r="A96" s="68"/>
      <c r="B96" s="69"/>
      <c r="C96" s="130" t="s">
        <v>434</v>
      </c>
      <c r="D96" s="127"/>
      <c r="E96" s="127"/>
      <c r="F96" s="127"/>
      <c r="G96" s="127"/>
      <c r="H96" s="127"/>
      <c r="I96" s="70"/>
      <c r="J96" s="71"/>
      <c r="K96" s="71"/>
      <c r="L96" s="71"/>
    </row>
    <row r="97" spans="1:12" ht="14.25">
      <c r="A97" s="68"/>
      <c r="B97" s="69"/>
      <c r="C97" s="127" t="s">
        <v>435</v>
      </c>
      <c r="D97" s="127"/>
      <c r="E97" s="127"/>
      <c r="F97" s="127"/>
      <c r="G97" s="127"/>
      <c r="H97" s="127"/>
      <c r="I97" s="70"/>
      <c r="J97" s="71">
        <f>SUM(Q48:Q93)</f>
        <v>1377.59</v>
      </c>
      <c r="K97" s="71"/>
      <c r="L97" s="71">
        <f>SUM(U48:U93)</f>
        <v>50791.85</v>
      </c>
    </row>
    <row r="98" spans="1:12" ht="14.25">
      <c r="A98" s="68"/>
      <c r="B98" s="69"/>
      <c r="C98" s="127" t="s">
        <v>436</v>
      </c>
      <c r="D98" s="127"/>
      <c r="E98" s="127"/>
      <c r="F98" s="127"/>
      <c r="G98" s="127"/>
      <c r="H98" s="127"/>
      <c r="I98" s="70"/>
      <c r="J98" s="71">
        <f>SUM(AB48:AB93)</f>
        <v>5058.91</v>
      </c>
      <c r="K98" s="71"/>
      <c r="L98" s="71">
        <f>SUM(AD48:AD93)</f>
        <v>66221.37</v>
      </c>
    </row>
    <row r="99" spans="1:12" ht="14.25">
      <c r="A99" s="68"/>
      <c r="B99" s="69"/>
      <c r="C99" s="127" t="s">
        <v>437</v>
      </c>
      <c r="D99" s="127"/>
      <c r="E99" s="127"/>
      <c r="F99" s="127"/>
      <c r="G99" s="127"/>
      <c r="H99" s="127"/>
      <c r="I99" s="70"/>
      <c r="J99" s="71">
        <f>SUM(AF48:AF93)-J104</f>
        <v>1087.89</v>
      </c>
      <c r="K99" s="71"/>
      <c r="L99" s="71">
        <f>Source!P44-L104</f>
        <v>7234.48</v>
      </c>
    </row>
    <row r="100" spans="1:12" ht="14.25">
      <c r="A100" s="68"/>
      <c r="B100" s="69"/>
      <c r="C100" s="127" t="s">
        <v>438</v>
      </c>
      <c r="D100" s="127"/>
      <c r="E100" s="127"/>
      <c r="F100" s="127"/>
      <c r="G100" s="127"/>
      <c r="H100" s="127"/>
      <c r="I100" s="70"/>
      <c r="J100" s="71">
        <f>SUM(AR48:AR93)+SUM(BB48:BB93)+SUM(BI48:BI93)+SUM(BP48:BP93)</f>
        <v>0</v>
      </c>
      <c r="K100" s="71"/>
      <c r="L100" s="71">
        <f>Source!P66</f>
        <v>0</v>
      </c>
    </row>
    <row r="101" spans="1:12" ht="14.25">
      <c r="A101" s="68"/>
      <c r="B101" s="69"/>
      <c r="C101" s="127" t="s">
        <v>439</v>
      </c>
      <c r="D101" s="127"/>
      <c r="E101" s="127"/>
      <c r="F101" s="127"/>
      <c r="G101" s="127"/>
      <c r="H101" s="127"/>
      <c r="I101" s="70"/>
      <c r="J101" s="71">
        <f>SUM(Q48:Q93)+SUM(X48:X93)</f>
        <v>1665.5</v>
      </c>
      <c r="K101" s="71"/>
      <c r="L101" s="71">
        <f>SUM(U48:U93)+SUM(Z48:Z93)</f>
        <v>61406.83</v>
      </c>
    </row>
    <row r="102" spans="1:12" ht="14.25">
      <c r="A102" s="68"/>
      <c r="B102" s="69"/>
      <c r="C102" s="127" t="s">
        <v>440</v>
      </c>
      <c r="D102" s="127"/>
      <c r="E102" s="127"/>
      <c r="F102" s="127"/>
      <c r="G102" s="127"/>
      <c r="H102" s="127"/>
      <c r="I102" s="70"/>
      <c r="J102" s="71">
        <f>SUM(AG48:AG93)</f>
        <v>1907.28</v>
      </c>
      <c r="K102" s="71"/>
      <c r="L102" s="71">
        <f>Source!P67</f>
        <v>70321.28</v>
      </c>
    </row>
    <row r="103" spans="1:12" ht="14.25">
      <c r="A103" s="68"/>
      <c r="B103" s="69"/>
      <c r="C103" s="127" t="s">
        <v>441</v>
      </c>
      <c r="D103" s="127"/>
      <c r="E103" s="127"/>
      <c r="F103" s="127"/>
      <c r="G103" s="127"/>
      <c r="H103" s="127"/>
      <c r="I103" s="70"/>
      <c r="J103" s="71">
        <f>SUM(AI48:AI93)</f>
        <v>1312.4299999999998</v>
      </c>
      <c r="K103" s="71"/>
      <c r="L103" s="71">
        <f>Source!P68</f>
        <v>48389.32</v>
      </c>
    </row>
    <row r="104" spans="1:12" ht="14.25">
      <c r="A104" s="68"/>
      <c r="B104" s="69"/>
      <c r="C104" s="127" t="s">
        <v>442</v>
      </c>
      <c r="D104" s="127"/>
      <c r="E104" s="127"/>
      <c r="F104" s="127"/>
      <c r="G104" s="127"/>
      <c r="H104" s="127"/>
      <c r="I104" s="70"/>
      <c r="J104" s="71">
        <f>SUM(BH48:BH93)</f>
        <v>0</v>
      </c>
      <c r="K104" s="71"/>
      <c r="L104" s="71">
        <f>Source!P50</f>
        <v>0</v>
      </c>
    </row>
    <row r="105" spans="1:12" ht="14.25">
      <c r="A105" s="68"/>
      <c r="B105" s="69"/>
      <c r="C105" s="127" t="s">
        <v>443</v>
      </c>
      <c r="D105" s="127"/>
      <c r="E105" s="127"/>
      <c r="F105" s="127"/>
      <c r="G105" s="127"/>
      <c r="H105" s="127"/>
      <c r="I105" s="70"/>
      <c r="J105" s="71">
        <f>SUM(BM48:BM93)+SUM(BN48:BN93)+SUM(BO48:BO93)+SUM(BP48:BP93)</f>
        <v>0</v>
      </c>
      <c r="K105" s="71"/>
      <c r="L105" s="71">
        <f>Source!P60</f>
        <v>0</v>
      </c>
    </row>
    <row r="106" spans="1:12" ht="15">
      <c r="A106" s="64"/>
      <c r="B106" s="65"/>
      <c r="C106" s="134" t="s">
        <v>444</v>
      </c>
      <c r="D106" s="134"/>
      <c r="E106" s="134"/>
      <c r="F106" s="134"/>
      <c r="G106" s="134"/>
      <c r="H106" s="134"/>
      <c r="I106" s="66"/>
      <c r="J106" s="67">
        <f>J95+J102+J103+J104</f>
        <v>10744.1</v>
      </c>
      <c r="K106" s="67"/>
      <c r="L106" s="67">
        <f>Source!P69</f>
        <v>242958.3</v>
      </c>
    </row>
    <row r="107" spans="1:12" ht="14.25">
      <c r="A107" s="68"/>
      <c r="B107" s="69"/>
      <c r="C107" s="130" t="s">
        <v>445</v>
      </c>
      <c r="D107" s="127"/>
      <c r="E107" s="127"/>
      <c r="F107" s="127"/>
      <c r="G107" s="127"/>
      <c r="H107" s="127"/>
      <c r="I107" s="70"/>
      <c r="J107" s="71"/>
      <c r="K107" s="71"/>
      <c r="L107" s="71"/>
    </row>
    <row r="108" spans="1:12" ht="14.25">
      <c r="A108" s="68"/>
      <c r="B108" s="69"/>
      <c r="C108" s="127" t="s">
        <v>446</v>
      </c>
      <c r="D108" s="127"/>
      <c r="E108" s="127"/>
      <c r="F108" s="127"/>
      <c r="G108" s="127"/>
      <c r="H108" s="127"/>
      <c r="I108" s="70"/>
      <c r="J108" s="71"/>
      <c r="K108" s="71"/>
      <c r="L108" s="71">
        <f>SUM(BS48:BS93)</f>
        <v>0</v>
      </c>
    </row>
    <row r="109" spans="1:12" ht="14.25">
      <c r="A109" s="68"/>
      <c r="B109" s="69"/>
      <c r="C109" s="127" t="s">
        <v>447</v>
      </c>
      <c r="D109" s="127"/>
      <c r="E109" s="127"/>
      <c r="F109" s="127"/>
      <c r="G109" s="127"/>
      <c r="H109" s="127"/>
      <c r="I109" s="70"/>
      <c r="J109" s="71"/>
      <c r="K109" s="71"/>
      <c r="L109" s="71">
        <f>SUM(BT48:BT93)</f>
        <v>0</v>
      </c>
    </row>
    <row r="110" spans="3:12" ht="14.25">
      <c r="C110" s="126" t="str">
        <f>Source!H70</f>
        <v>итого по разделу</v>
      </c>
      <c r="D110" s="126"/>
      <c r="E110" s="126"/>
      <c r="F110" s="126"/>
      <c r="G110" s="126"/>
      <c r="H110" s="126"/>
      <c r="I110" s="126"/>
      <c r="J110" s="126"/>
      <c r="K110" s="126"/>
      <c r="L110" s="49">
        <f>IF(Source!AB70=0,"",Source!AB70)</f>
        <v>242958.3</v>
      </c>
    </row>
    <row r="112" spans="1:12" ht="16.5">
      <c r="A112" s="129" t="s">
        <v>448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1:56" ht="130.5">
      <c r="A113" s="72">
        <v>4</v>
      </c>
      <c r="B113" s="72" t="s">
        <v>449</v>
      </c>
      <c r="C113" s="72" t="s">
        <v>450</v>
      </c>
      <c r="D113" s="54" t="str">
        <f>Source!DW77</f>
        <v>100 м</v>
      </c>
      <c r="E113" s="55">
        <f>Source!K77</f>
        <v>1.49</v>
      </c>
      <c r="F113" s="55"/>
      <c r="G113" s="55">
        <f>Source!I77</f>
        <v>1.49</v>
      </c>
      <c r="H113" s="49"/>
      <c r="I113" s="56"/>
      <c r="J113" s="49"/>
      <c r="K113" s="56"/>
      <c r="L113" s="49"/>
      <c r="AG113">
        <f>ROUND((Source!AT77/100)*((ROUND(Source!AF77*Source!I77,2)+ROUND(Source!AE77*Source!I77,2))),2)</f>
        <v>1360.11</v>
      </c>
      <c r="AH113">
        <f>Source!X77</f>
        <v>50147.52</v>
      </c>
      <c r="AI113">
        <f>ROUND((Source!AU77/100)*((ROUND(Source!AF77*Source!I77,2)+ROUND(Source!AE77*Source!I77,2))),2)</f>
        <v>1170.95</v>
      </c>
      <c r="AJ113">
        <f>Source!Y77</f>
        <v>43173.11</v>
      </c>
      <c r="AS113">
        <f>IF(Source!BI77&lt;=1,AH113,0)</f>
        <v>50147.52</v>
      </c>
      <c r="AT113">
        <f>IF(Source!BI77&lt;=1,AJ113,0)</f>
        <v>43173.11</v>
      </c>
      <c r="BC113">
        <f>IF(Source!BI77=2,AH113,0)</f>
        <v>0</v>
      </c>
      <c r="BD113">
        <f>IF(Source!BI77=2,AJ113,0)</f>
        <v>0</v>
      </c>
    </row>
    <row r="114" ht="38.25">
      <c r="B114" s="45" t="str">
        <f>Source!EO77</f>
        <v>Поправка: М-ка 421/пр 04.08.20 п.58 п.п. б)</v>
      </c>
    </row>
    <row r="115" ht="12.75">
      <c r="C115" s="46" t="str">
        <f>"Объем: "&amp;Source!K77&amp;"=149/"&amp;"100"</f>
        <v>Объем: 1,49=149/100</v>
      </c>
    </row>
    <row r="116" spans="1:12" ht="14.25">
      <c r="A116" s="72"/>
      <c r="B116" s="73">
        <v>1</v>
      </c>
      <c r="C116" s="72" t="s">
        <v>411</v>
      </c>
      <c r="D116" s="54"/>
      <c r="E116" s="55"/>
      <c r="F116" s="55"/>
      <c r="G116" s="55"/>
      <c r="H116" s="49">
        <f>Source!AO77</f>
        <v>590.51</v>
      </c>
      <c r="I116" s="56">
        <f>ROUND(1.15,7)</f>
        <v>1.15</v>
      </c>
      <c r="J116" s="49">
        <f>ROUND(Source!AF77*Source!I77,2)</f>
        <v>1011.84</v>
      </c>
      <c r="K116" s="56">
        <f>IF(Source!BA77&lt;&gt;0,Source!BA77,1)</f>
        <v>36.87</v>
      </c>
      <c r="L116" s="49">
        <f>Source!S77</f>
        <v>37306.69</v>
      </c>
    </row>
    <row r="117" spans="1:12" ht="14.25">
      <c r="A117" s="72"/>
      <c r="B117" s="73">
        <v>3</v>
      </c>
      <c r="C117" s="72" t="s">
        <v>412</v>
      </c>
      <c r="D117" s="54"/>
      <c r="E117" s="55"/>
      <c r="F117" s="55"/>
      <c r="G117" s="55"/>
      <c r="H117" s="49">
        <f>Source!AM77</f>
        <v>73.02</v>
      </c>
      <c r="I117" s="56">
        <f>ROUND(1.25,7)</f>
        <v>1.25</v>
      </c>
      <c r="J117" s="49">
        <f>ROUND(((((Source!ET77*ROUND(1.25,7)))-((Source!EU77*ROUND(1.25,7))))+Source!AE77)*Source!I77,2)</f>
        <v>136.01</v>
      </c>
      <c r="K117" s="56">
        <f>IF(Source!BB77&lt;&gt;0,Source!BB77,1)</f>
        <v>13.09</v>
      </c>
      <c r="L117" s="49">
        <f>Source!Q77</f>
        <v>1780.51</v>
      </c>
    </row>
    <row r="118" spans="1:12" ht="14.25">
      <c r="A118" s="72"/>
      <c r="B118" s="73">
        <v>2</v>
      </c>
      <c r="C118" s="72" t="s">
        <v>413</v>
      </c>
      <c r="D118" s="54"/>
      <c r="E118" s="55"/>
      <c r="F118" s="55"/>
      <c r="G118" s="55"/>
      <c r="H118" s="49">
        <f>Source!AN77</f>
        <v>8.7</v>
      </c>
      <c r="I118" s="56">
        <f>ROUND(1.25,7)</f>
        <v>1.25</v>
      </c>
      <c r="J118" s="57">
        <f>ROUND(Source!AE77*Source!I77,2)</f>
        <v>16.21</v>
      </c>
      <c r="K118" s="56">
        <f>IF(Source!BS77&lt;&gt;0,Source!BS77,1)</f>
        <v>36.87</v>
      </c>
      <c r="L118" s="57">
        <f>Source!R77</f>
        <v>597.71</v>
      </c>
    </row>
    <row r="119" spans="1:12" ht="14.25">
      <c r="A119" s="72"/>
      <c r="B119" s="73">
        <v>4</v>
      </c>
      <c r="C119" s="72" t="s">
        <v>414</v>
      </c>
      <c r="D119" s="54"/>
      <c r="E119" s="55"/>
      <c r="F119" s="55"/>
      <c r="G119" s="55"/>
      <c r="H119" s="49">
        <f>Source!AL77</f>
        <v>2504.53</v>
      </c>
      <c r="I119" s="56"/>
      <c r="J119" s="49">
        <f>ROUND(Source!AC77*Source!I77,2)</f>
        <v>3731.75</v>
      </c>
      <c r="K119" s="56">
        <f>IF(Source!BC77&lt;&gt;0,Source!BC77,1)</f>
        <v>6.65</v>
      </c>
      <c r="L119" s="49">
        <f>Source!P77</f>
        <v>24816.14</v>
      </c>
    </row>
    <row r="120" spans="1:12" ht="14.25">
      <c r="A120" s="72"/>
      <c r="B120" s="72"/>
      <c r="C120" s="72" t="s">
        <v>415</v>
      </c>
      <c r="D120" s="54" t="s">
        <v>416</v>
      </c>
      <c r="E120" s="55">
        <f>Source!AQ77</f>
        <v>69.8</v>
      </c>
      <c r="F120" s="55">
        <f>ROUND(1.15,7)</f>
        <v>1.15</v>
      </c>
      <c r="G120" s="99">
        <f>ROUND(Source!U77,7)</f>
        <v>119.6023</v>
      </c>
      <c r="H120" s="49"/>
      <c r="I120" s="56"/>
      <c r="J120" s="49"/>
      <c r="K120" s="56"/>
      <c r="L120" s="49"/>
    </row>
    <row r="121" spans="1:12" ht="14.25">
      <c r="A121" s="72"/>
      <c r="B121" s="72"/>
      <c r="C121" s="74" t="s">
        <v>417</v>
      </c>
      <c r="D121" s="58" t="s">
        <v>416</v>
      </c>
      <c r="E121" s="59">
        <f>Source!AR77</f>
        <v>0.65</v>
      </c>
      <c r="F121" s="59">
        <f>ROUND(1.25,7)</f>
        <v>1.25</v>
      </c>
      <c r="G121" s="100">
        <f>ROUND(Source!V77,7)</f>
        <v>1.210625</v>
      </c>
      <c r="H121" s="60"/>
      <c r="I121" s="61"/>
      <c r="J121" s="60"/>
      <c r="K121" s="61"/>
      <c r="L121" s="60"/>
    </row>
    <row r="122" spans="1:12" ht="14.25">
      <c r="A122" s="72"/>
      <c r="B122" s="72"/>
      <c r="C122" s="72" t="s">
        <v>418</v>
      </c>
      <c r="D122" s="54"/>
      <c r="E122" s="55"/>
      <c r="F122" s="55"/>
      <c r="G122" s="55"/>
      <c r="H122" s="49">
        <f>H116+H117+H119</f>
        <v>3168.0600000000004</v>
      </c>
      <c r="I122" s="56"/>
      <c r="J122" s="49">
        <f>J116+J117+J119</f>
        <v>4879.6</v>
      </c>
      <c r="K122" s="56"/>
      <c r="L122" s="49">
        <f>L116+L117+L119</f>
        <v>63903.340000000004</v>
      </c>
    </row>
    <row r="123" spans="1:56" ht="28.5">
      <c r="A123" s="72" t="s">
        <v>126</v>
      </c>
      <c r="B123" s="72" t="s">
        <v>451</v>
      </c>
      <c r="C123" s="72" t="str">
        <f>Source!G79</f>
        <v>Камни бортовые БР 100.30.15, бетон В30 (М400), объем 0,043 м3</v>
      </c>
      <c r="D123" s="54" t="str">
        <f>Source!DW79</f>
        <v>ШТ</v>
      </c>
      <c r="E123" s="55">
        <f>SmtRes!AT55</f>
        <v>100</v>
      </c>
      <c r="F123" s="55"/>
      <c r="G123" s="55">
        <f>Source!I79</f>
        <v>149</v>
      </c>
      <c r="H123" s="49">
        <f>Source!AL79+Source!AO79+Source!AM79</f>
        <v>63.12</v>
      </c>
      <c r="I123" s="56"/>
      <c r="J123" s="49">
        <f>ROUND(Source!AC79*Source!I79,2)+ROUND((((Source!ET79)-(Source!EU79))+Source!AE79)*Source!I79,2)+ROUND(Source!AF79*Source!I79,2)</f>
        <v>9404.88</v>
      </c>
      <c r="K123" s="56">
        <f>IF(Source!BC79&lt;&gt;0,Source!BC79,1)</f>
        <v>6.65</v>
      </c>
      <c r="L123" s="49">
        <f>Source!O79</f>
        <v>62542.45</v>
      </c>
      <c r="AF123" s="48">
        <f>J123</f>
        <v>9404.88</v>
      </c>
      <c r="AG123">
        <f>ROUND((Source!AT79/100)*((ROUND(Source!AF79*Source!I79,2)+ROUND(Source!AE79*Source!I79,2))),2)</f>
        <v>0</v>
      </c>
      <c r="AH123">
        <f>Source!X79</f>
        <v>0</v>
      </c>
      <c r="AI123">
        <f>ROUND((Source!AU79/100)*((ROUND(Source!AF79*Source!I79,2)+ROUND(Source!AE79*Source!I79,2))),2)</f>
        <v>0</v>
      </c>
      <c r="AJ123">
        <f>Source!Y79</f>
        <v>0</v>
      </c>
      <c r="AN123">
        <f>IF(Source!BI79&lt;=1,J123,0)</f>
        <v>9404.88</v>
      </c>
      <c r="AO123">
        <f>IF(Source!BI79&lt;=1,J123,0)</f>
        <v>9404.88</v>
      </c>
      <c r="AS123">
        <f>IF(Source!BI79&lt;=1,AH123,0)</f>
        <v>0</v>
      </c>
      <c r="AT123">
        <f>IF(Source!BI79&lt;=1,AJ123,0)</f>
        <v>0</v>
      </c>
      <c r="AX123">
        <f>IF(Source!BI79=2,J123,0)</f>
        <v>0</v>
      </c>
      <c r="AY123">
        <f>IF(Source!BI79=2,J123,0)</f>
        <v>0</v>
      </c>
      <c r="BC123">
        <f>IF(Source!BI79=2,AH123,0)</f>
        <v>0</v>
      </c>
      <c r="BD123">
        <f>IF(Source!BI79=2,AJ123,0)</f>
        <v>0</v>
      </c>
    </row>
    <row r="124" spans="1:12" ht="14.25">
      <c r="A124" s="72"/>
      <c r="B124" s="72"/>
      <c r="C124" s="72" t="s">
        <v>422</v>
      </c>
      <c r="D124" s="54"/>
      <c r="E124" s="55"/>
      <c r="F124" s="55"/>
      <c r="G124" s="55"/>
      <c r="H124" s="49"/>
      <c r="I124" s="56"/>
      <c r="J124" s="49">
        <f>SUM(Q113:Q127)+SUM(V113:V127)+SUM(X113:X127)+SUM(Y113:Y127)</f>
        <v>1028.05</v>
      </c>
      <c r="K124" s="56"/>
      <c r="L124" s="49">
        <f>SUM(U113:U127)+SUM(W113:W127)+SUM(Z113:Z127)+SUM(AA113:AA127)</f>
        <v>37904.4</v>
      </c>
    </row>
    <row r="125" spans="1:12" ht="28.5">
      <c r="A125" s="72"/>
      <c r="B125" s="72" t="s">
        <v>423</v>
      </c>
      <c r="C125" s="72" t="s">
        <v>424</v>
      </c>
      <c r="D125" s="54" t="s">
        <v>425</v>
      </c>
      <c r="E125" s="55">
        <f>Source!BZ77</f>
        <v>147</v>
      </c>
      <c r="F125" s="55">
        <f>ROUND(0.9,7)</f>
        <v>0.9</v>
      </c>
      <c r="G125" s="55">
        <f>Source!AT77</f>
        <v>132.3</v>
      </c>
      <c r="H125" s="49"/>
      <c r="I125" s="56"/>
      <c r="J125" s="49">
        <f>SUM(AG113:AG127)</f>
        <v>1360.11</v>
      </c>
      <c r="K125" s="56"/>
      <c r="L125" s="49">
        <f>SUM(AH113:AH127)</f>
        <v>50147.52</v>
      </c>
    </row>
    <row r="126" spans="1:12" ht="28.5">
      <c r="A126" s="74"/>
      <c r="B126" s="74" t="s">
        <v>426</v>
      </c>
      <c r="C126" s="74" t="s">
        <v>427</v>
      </c>
      <c r="D126" s="58" t="s">
        <v>425</v>
      </c>
      <c r="E126" s="59">
        <f>Source!CA77</f>
        <v>134</v>
      </c>
      <c r="F126" s="59">
        <f>ROUND(0.85,7)</f>
        <v>0.85</v>
      </c>
      <c r="G126" s="59">
        <f>Source!AU77</f>
        <v>113.9</v>
      </c>
      <c r="H126" s="60"/>
      <c r="I126" s="61"/>
      <c r="J126" s="60">
        <f>SUM(AI113:AI127)</f>
        <v>1170.95</v>
      </c>
      <c r="K126" s="61"/>
      <c r="L126" s="60">
        <f>SUM(AJ113:AJ127)</f>
        <v>43173.11</v>
      </c>
    </row>
    <row r="127" spans="3:53" ht="15">
      <c r="C127" s="133" t="s">
        <v>428</v>
      </c>
      <c r="D127" s="133"/>
      <c r="E127" s="133"/>
      <c r="F127" s="133"/>
      <c r="G127" s="133"/>
      <c r="H127" s="133"/>
      <c r="I127" s="133">
        <f>J116+J117+J119+J125+J126+SUM(J123:J123)</f>
        <v>16815.54</v>
      </c>
      <c r="J127" s="133"/>
      <c r="K127" s="133">
        <f>L116+L117+L119+L125+L126+SUM(L123:L123)</f>
        <v>219766.41999999998</v>
      </c>
      <c r="L127" s="133"/>
      <c r="O127" s="48">
        <f>I127</f>
        <v>16815.54</v>
      </c>
      <c r="P127" s="48">
        <f>K127</f>
        <v>219766.41999999998</v>
      </c>
      <c r="Q127" s="48">
        <f>J116</f>
        <v>1011.84</v>
      </c>
      <c r="R127" s="48">
        <f>J116</f>
        <v>1011.84</v>
      </c>
      <c r="U127" s="48">
        <f>L116</f>
        <v>37306.69</v>
      </c>
      <c r="X127" s="48">
        <f>J118</f>
        <v>16.21</v>
      </c>
      <c r="Z127" s="48">
        <f>L118</f>
        <v>597.71</v>
      </c>
      <c r="AB127" s="48">
        <f>J117</f>
        <v>136.01</v>
      </c>
      <c r="AD127" s="48">
        <f>L117</f>
        <v>1780.51</v>
      </c>
      <c r="AF127" s="48">
        <f>J119</f>
        <v>3731.75</v>
      </c>
      <c r="AN127">
        <f>IF(Source!BI77&lt;=1,J116+J117+J119+J125+J126,0)</f>
        <v>7410.66</v>
      </c>
      <c r="AO127">
        <f>IF(Source!BI77&lt;=1,J119,0)</f>
        <v>3731.75</v>
      </c>
      <c r="AP127">
        <f>IF(Source!BI77&lt;=1,J117,0)</f>
        <v>136.01</v>
      </c>
      <c r="AQ127">
        <f>IF(Source!BI77&lt;=1,J116,0)</f>
        <v>1011.84</v>
      </c>
      <c r="AX127">
        <f>IF(Source!BI77=2,J116+J117+J119+J125+J126,0)</f>
        <v>0</v>
      </c>
      <c r="AY127">
        <f>IF(Source!BI77=2,J119,0)</f>
        <v>0</v>
      </c>
      <c r="AZ127">
        <f>IF(Source!BI77=2,J117,0)</f>
        <v>0</v>
      </c>
      <c r="BA127">
        <f>IF(Source!BI77=2,J116,0)</f>
        <v>0</v>
      </c>
    </row>
    <row r="128" spans="1:56" ht="159">
      <c r="A128" s="72">
        <v>5</v>
      </c>
      <c r="B128" s="72" t="s">
        <v>452</v>
      </c>
      <c r="C128" s="72" t="s">
        <v>453</v>
      </c>
      <c r="D128" s="54" t="str">
        <f>Source!DW81</f>
        <v>1000 м2</v>
      </c>
      <c r="E128" s="55">
        <f>Source!K81</f>
        <v>0.045</v>
      </c>
      <c r="F128" s="55"/>
      <c r="G128" s="55">
        <f>Source!I81</f>
        <v>0.045</v>
      </c>
      <c r="H128" s="49"/>
      <c r="I128" s="56"/>
      <c r="J128" s="49"/>
      <c r="K128" s="56"/>
      <c r="L128" s="49"/>
      <c r="AG128">
        <f>ROUND((Source!AT81/100)*((ROUND(Source!AF81*Source!I81,2)+ROUND(Source!AE81*Source!I81,2))),2)</f>
        <v>29.94</v>
      </c>
      <c r="AH128">
        <f>Source!X81</f>
        <v>1103.55</v>
      </c>
      <c r="AI128">
        <f>ROUND((Source!AU81/100)*((ROUND(Source!AF81*Source!I81,2)+ROUND(Source!AE81*Source!I81,2))),2)</f>
        <v>25.78</v>
      </c>
      <c r="AJ128">
        <f>Source!Y81</f>
        <v>950.07</v>
      </c>
      <c r="AS128">
        <f>IF(Source!BI81&lt;=1,AH128,0)</f>
        <v>1103.55</v>
      </c>
      <c r="AT128">
        <f>IF(Source!BI81&lt;=1,AJ128,0)</f>
        <v>950.07</v>
      </c>
      <c r="BC128">
        <f>IF(Source!BI81=2,AH128,0)</f>
        <v>0</v>
      </c>
      <c r="BD128">
        <f>IF(Source!BI81=2,AJ128,0)</f>
        <v>0</v>
      </c>
    </row>
    <row r="129" ht="38.25">
      <c r="B129" s="45" t="str">
        <f>Source!EO81</f>
        <v>Поправка: М-ка 421/пр 04.08.20 п.58 п.п. б)</v>
      </c>
    </row>
    <row r="130" ht="12.75">
      <c r="C130" s="46" t="str">
        <f>"Объем: "&amp;Source!K81&amp;"=45/"&amp;"1000"</f>
        <v>Объем: 0,045=45/1000</v>
      </c>
    </row>
    <row r="131" spans="1:12" ht="14.25">
      <c r="A131" s="72"/>
      <c r="B131" s="73">
        <v>1</v>
      </c>
      <c r="C131" s="72" t="s">
        <v>411</v>
      </c>
      <c r="D131" s="54"/>
      <c r="E131" s="55"/>
      <c r="F131" s="55"/>
      <c r="G131" s="55"/>
      <c r="H131" s="49">
        <f>Source!AO81</f>
        <v>182.32</v>
      </c>
      <c r="I131" s="56">
        <f>ROUND(1.15,7)</f>
        <v>1.15</v>
      </c>
      <c r="J131" s="49">
        <f>ROUND(Source!AF81*Source!I81,2)</f>
        <v>9.44</v>
      </c>
      <c r="K131" s="56">
        <f>IF(Source!BA81&lt;&gt;0,Source!BA81,1)</f>
        <v>36.87</v>
      </c>
      <c r="L131" s="49">
        <f>Source!S81</f>
        <v>347.87</v>
      </c>
    </row>
    <row r="132" spans="1:12" ht="14.25">
      <c r="A132" s="72"/>
      <c r="B132" s="73">
        <v>3</v>
      </c>
      <c r="C132" s="72" t="s">
        <v>412</v>
      </c>
      <c r="D132" s="54"/>
      <c r="E132" s="55"/>
      <c r="F132" s="55"/>
      <c r="G132" s="55"/>
      <c r="H132" s="49">
        <f>Source!AM81</f>
        <v>7479.03</v>
      </c>
      <c r="I132" s="56">
        <f>ROUND(1.25,7)</f>
        <v>1.25</v>
      </c>
      <c r="J132" s="49">
        <f>ROUND(((((Source!ET81*ROUND(1.25,7)))-((Source!EU81*ROUND(1.25,7))))+Source!AE81)*Source!I81,2)</f>
        <v>420.7</v>
      </c>
      <c r="K132" s="56">
        <f>IF(Source!BB81&lt;&gt;0,Source!BB81,1)</f>
        <v>13.09</v>
      </c>
      <c r="L132" s="49">
        <f>Source!Q81</f>
        <v>5506.91</v>
      </c>
    </row>
    <row r="133" spans="1:12" ht="14.25">
      <c r="A133" s="72"/>
      <c r="B133" s="73">
        <v>2</v>
      </c>
      <c r="C133" s="72" t="s">
        <v>413</v>
      </c>
      <c r="D133" s="54"/>
      <c r="E133" s="55"/>
      <c r="F133" s="55"/>
      <c r="G133" s="55"/>
      <c r="H133" s="49">
        <f>Source!AN81</f>
        <v>234.46</v>
      </c>
      <c r="I133" s="56">
        <f>ROUND(1.25,7)</f>
        <v>1.25</v>
      </c>
      <c r="J133" s="57">
        <f>ROUND(Source!AE81*Source!I81,2)</f>
        <v>13.19</v>
      </c>
      <c r="K133" s="56">
        <f>IF(Source!BS81&lt;&gt;0,Source!BS81,1)</f>
        <v>36.87</v>
      </c>
      <c r="L133" s="57">
        <f>Source!R81</f>
        <v>486.26</v>
      </c>
    </row>
    <row r="134" spans="1:12" ht="14.25">
      <c r="A134" s="72"/>
      <c r="B134" s="73">
        <v>4</v>
      </c>
      <c r="C134" s="72" t="s">
        <v>414</v>
      </c>
      <c r="D134" s="54"/>
      <c r="E134" s="55"/>
      <c r="F134" s="55"/>
      <c r="G134" s="55"/>
      <c r="H134" s="49">
        <f>Source!AL81</f>
        <v>874.78</v>
      </c>
      <c r="I134" s="56"/>
      <c r="J134" s="49">
        <f>ROUND(Source!AC81*Source!I81,2)</f>
        <v>39.37</v>
      </c>
      <c r="K134" s="56">
        <f>IF(Source!BC81&lt;&gt;0,Source!BC81,1)</f>
        <v>6.65</v>
      </c>
      <c r="L134" s="49">
        <f>Source!P81</f>
        <v>261.78</v>
      </c>
    </row>
    <row r="135" spans="1:12" ht="14.25">
      <c r="A135" s="72"/>
      <c r="B135" s="72"/>
      <c r="C135" s="72" t="s">
        <v>415</v>
      </c>
      <c r="D135" s="54" t="s">
        <v>416</v>
      </c>
      <c r="E135" s="55">
        <f>Source!AQ81</f>
        <v>20.86</v>
      </c>
      <c r="F135" s="55">
        <f>ROUND(1.15,7)</f>
        <v>1.15</v>
      </c>
      <c r="G135" s="99">
        <f>ROUND(Source!U81,7)</f>
        <v>1.079505</v>
      </c>
      <c r="H135" s="49"/>
      <c r="I135" s="56"/>
      <c r="J135" s="49"/>
      <c r="K135" s="56"/>
      <c r="L135" s="49"/>
    </row>
    <row r="136" spans="1:12" ht="14.25">
      <c r="A136" s="72"/>
      <c r="B136" s="72"/>
      <c r="C136" s="74" t="s">
        <v>417</v>
      </c>
      <c r="D136" s="58" t="s">
        <v>416</v>
      </c>
      <c r="E136" s="59">
        <f>Source!AR81</f>
        <v>18.85</v>
      </c>
      <c r="F136" s="59">
        <f>ROUND(1.25,7)</f>
        <v>1.25</v>
      </c>
      <c r="G136" s="100">
        <f>ROUND(Source!V81,7)</f>
        <v>1.0603125</v>
      </c>
      <c r="H136" s="60"/>
      <c r="I136" s="61"/>
      <c r="J136" s="60"/>
      <c r="K136" s="61"/>
      <c r="L136" s="60"/>
    </row>
    <row r="137" spans="1:12" ht="14.25">
      <c r="A137" s="72"/>
      <c r="B137" s="72"/>
      <c r="C137" s="72" t="s">
        <v>418</v>
      </c>
      <c r="D137" s="54"/>
      <c r="E137" s="55"/>
      <c r="F137" s="55"/>
      <c r="G137" s="55"/>
      <c r="H137" s="49">
        <f>H131+H132+H134</f>
        <v>8536.13</v>
      </c>
      <c r="I137" s="56"/>
      <c r="J137" s="49">
        <f>J131+J132+J134</f>
        <v>469.51</v>
      </c>
      <c r="K137" s="56"/>
      <c r="L137" s="49">
        <f>L131+L132+L134</f>
        <v>6116.5599999999995</v>
      </c>
    </row>
    <row r="138" spans="1:56" ht="71.25">
      <c r="A138" s="72" t="s">
        <v>135</v>
      </c>
      <c r="B138" s="72" t="s">
        <v>454</v>
      </c>
      <c r="C138" s="72" t="str">
        <f>Source!G83</f>
        <v>Смеси асфальтобетонные дорожные, аэродромные и асфальтобетон (горячие для плотного асфальтобетона мелко и крупнозернистые, песчаные), марка: I, тип В</v>
      </c>
      <c r="D138" s="54" t="str">
        <f>Source!DW83</f>
        <v>т</v>
      </c>
      <c r="E138" s="55">
        <f>SmtRes!AT102</f>
        <v>100</v>
      </c>
      <c r="F138" s="55"/>
      <c r="G138" s="55">
        <f>Source!I83</f>
        <v>4.5</v>
      </c>
      <c r="H138" s="49">
        <f>Source!AL83+Source!AO83+Source!AM83</f>
        <v>480</v>
      </c>
      <c r="I138" s="56"/>
      <c r="J138" s="49">
        <f>ROUND(Source!AC83*Source!I83,2)+ROUND((((Source!ET83)-(Source!EU83))+Source!AE83)*Source!I83,2)+ROUND(Source!AF83*Source!I83,2)</f>
        <v>2160</v>
      </c>
      <c r="K138" s="56">
        <f>IF(Source!BC83&lt;&gt;0,Source!BC83,1)</f>
        <v>6.65</v>
      </c>
      <c r="L138" s="49">
        <f>Source!O83</f>
        <v>14364</v>
      </c>
      <c r="AF138" s="48">
        <f>J138</f>
        <v>2160</v>
      </c>
      <c r="AG138">
        <f>ROUND((Source!AT83/100)*((ROUND(Source!AF83*Source!I83,2)+ROUND(Source!AE83*Source!I83,2))),2)</f>
        <v>0</v>
      </c>
      <c r="AH138">
        <f>Source!X83</f>
        <v>0</v>
      </c>
      <c r="AI138">
        <f>ROUND((Source!AU83/100)*((ROUND(Source!AF83*Source!I83,2)+ROUND(Source!AE83*Source!I83,2))),2)</f>
        <v>0</v>
      </c>
      <c r="AJ138">
        <f>Source!Y83</f>
        <v>0</v>
      </c>
      <c r="AN138">
        <f>IF(Source!BI83&lt;=1,J138,0)</f>
        <v>2160</v>
      </c>
      <c r="AO138">
        <f>IF(Source!BI83&lt;=1,J138,0)</f>
        <v>2160</v>
      </c>
      <c r="AS138">
        <f>IF(Source!BI83&lt;=1,AH138,0)</f>
        <v>0</v>
      </c>
      <c r="AT138">
        <f>IF(Source!BI83&lt;=1,AJ138,0)</f>
        <v>0</v>
      </c>
      <c r="AX138">
        <f>IF(Source!BI83=2,J138,0)</f>
        <v>0</v>
      </c>
      <c r="AY138">
        <f>IF(Source!BI83=2,J138,0)</f>
        <v>0</v>
      </c>
      <c r="BC138">
        <f>IF(Source!BI83=2,AH138,0)</f>
        <v>0</v>
      </c>
      <c r="BD138">
        <f>IF(Source!BI83=2,AJ138,0)</f>
        <v>0</v>
      </c>
    </row>
    <row r="139" spans="1:12" ht="14.25">
      <c r="A139" s="72"/>
      <c r="B139" s="72"/>
      <c r="C139" s="72" t="s">
        <v>422</v>
      </c>
      <c r="D139" s="54"/>
      <c r="E139" s="55"/>
      <c r="F139" s="55"/>
      <c r="G139" s="55"/>
      <c r="H139" s="49"/>
      <c r="I139" s="56"/>
      <c r="J139" s="49">
        <f>SUM(Q128:Q142)+SUM(V128:V142)+SUM(X128:X142)+SUM(Y128:Y142)</f>
        <v>22.63</v>
      </c>
      <c r="K139" s="56"/>
      <c r="L139" s="49">
        <f>SUM(U128:U142)+SUM(W128:W142)+SUM(Z128:Z142)+SUM(AA128:AA142)</f>
        <v>834.13</v>
      </c>
    </row>
    <row r="140" spans="1:12" ht="28.5">
      <c r="A140" s="72"/>
      <c r="B140" s="72" t="s">
        <v>423</v>
      </c>
      <c r="C140" s="72" t="s">
        <v>424</v>
      </c>
      <c r="D140" s="54" t="s">
        <v>425</v>
      </c>
      <c r="E140" s="55">
        <f>Source!BZ81</f>
        <v>147</v>
      </c>
      <c r="F140" s="55">
        <f>ROUND(0.9,7)</f>
        <v>0.9</v>
      </c>
      <c r="G140" s="55">
        <f>Source!AT81</f>
        <v>132.3</v>
      </c>
      <c r="H140" s="49"/>
      <c r="I140" s="56"/>
      <c r="J140" s="49">
        <f>SUM(AG128:AG142)</f>
        <v>29.94</v>
      </c>
      <c r="K140" s="56"/>
      <c r="L140" s="49">
        <f>SUM(AH128:AH142)</f>
        <v>1103.55</v>
      </c>
    </row>
    <row r="141" spans="1:12" ht="28.5">
      <c r="A141" s="74"/>
      <c r="B141" s="74" t="s">
        <v>426</v>
      </c>
      <c r="C141" s="74" t="s">
        <v>427</v>
      </c>
      <c r="D141" s="58" t="s">
        <v>425</v>
      </c>
      <c r="E141" s="59">
        <f>Source!CA81</f>
        <v>134</v>
      </c>
      <c r="F141" s="59">
        <f>ROUND(0.85,7)</f>
        <v>0.85</v>
      </c>
      <c r="G141" s="59">
        <f>Source!AU81</f>
        <v>113.9</v>
      </c>
      <c r="H141" s="60"/>
      <c r="I141" s="61"/>
      <c r="J141" s="60">
        <f>SUM(AI128:AI142)</f>
        <v>25.78</v>
      </c>
      <c r="K141" s="61"/>
      <c r="L141" s="60">
        <f>SUM(AJ128:AJ142)</f>
        <v>950.07</v>
      </c>
    </row>
    <row r="142" spans="3:53" ht="15">
      <c r="C142" s="133" t="s">
        <v>428</v>
      </c>
      <c r="D142" s="133"/>
      <c r="E142" s="133"/>
      <c r="F142" s="133"/>
      <c r="G142" s="133"/>
      <c r="H142" s="133"/>
      <c r="I142" s="133">
        <f>J131+J132+J134+J140+J141+SUM(J138:J138)</f>
        <v>2685.23</v>
      </c>
      <c r="J142" s="133"/>
      <c r="K142" s="133">
        <f>L131+L132+L134+L140+L141+SUM(L138:L138)</f>
        <v>22534.18</v>
      </c>
      <c r="L142" s="133"/>
      <c r="O142" s="48">
        <f>I142</f>
        <v>2685.23</v>
      </c>
      <c r="P142" s="48">
        <f>K142</f>
        <v>22534.18</v>
      </c>
      <c r="Q142" s="48">
        <f>J131</f>
        <v>9.44</v>
      </c>
      <c r="R142" s="48">
        <f>J131</f>
        <v>9.44</v>
      </c>
      <c r="U142" s="48">
        <f>L131</f>
        <v>347.87</v>
      </c>
      <c r="X142" s="48">
        <f>J133</f>
        <v>13.19</v>
      </c>
      <c r="Z142" s="48">
        <f>L133</f>
        <v>486.26</v>
      </c>
      <c r="AB142" s="48">
        <f>J132</f>
        <v>420.7</v>
      </c>
      <c r="AD142" s="48">
        <f>L132</f>
        <v>5506.91</v>
      </c>
      <c r="AF142" s="48">
        <f>J134</f>
        <v>39.37</v>
      </c>
      <c r="AN142">
        <f>IF(Source!BI81&lt;=1,J131+J132+J134+J140+J141,0)</f>
        <v>525.23</v>
      </c>
      <c r="AO142">
        <f>IF(Source!BI81&lt;=1,J134,0)</f>
        <v>39.37</v>
      </c>
      <c r="AP142">
        <f>IF(Source!BI81&lt;=1,J132,0)</f>
        <v>420.7</v>
      </c>
      <c r="AQ142">
        <f>IF(Source!BI81&lt;=1,J131,0)</f>
        <v>9.44</v>
      </c>
      <c r="AX142">
        <f>IF(Source!BI81=2,J131+J132+J134+J140+J141,0)</f>
        <v>0</v>
      </c>
      <c r="AY142">
        <f>IF(Source!BI81=2,J134,0)</f>
        <v>0</v>
      </c>
      <c r="AZ142">
        <f>IF(Source!BI81=2,J132,0)</f>
        <v>0</v>
      </c>
      <c r="BA142">
        <f>IF(Source!BI81=2,J131,0)</f>
        <v>0</v>
      </c>
    </row>
    <row r="143" spans="1:56" ht="157.5">
      <c r="A143" s="72">
        <v>6</v>
      </c>
      <c r="B143" s="72" t="s">
        <v>455</v>
      </c>
      <c r="C143" s="72" t="s">
        <v>456</v>
      </c>
      <c r="D143" s="54" t="str">
        <f>Source!DW85</f>
        <v>1000 м2</v>
      </c>
      <c r="E143" s="55">
        <f>Source!K85</f>
        <v>0.045</v>
      </c>
      <c r="F143" s="55"/>
      <c r="G143" s="55">
        <f>Source!I85</f>
        <v>0.045</v>
      </c>
      <c r="H143" s="49"/>
      <c r="I143" s="56"/>
      <c r="J143" s="49"/>
      <c r="K143" s="56"/>
      <c r="L143" s="49"/>
      <c r="AG143">
        <f>ROUND((Source!AT85/100)*((ROUND(Source!AF85*Source!I85,2)+ROUND(Source!AE85*Source!I85,2))),2)</f>
        <v>1.34</v>
      </c>
      <c r="AH143">
        <f>Source!X85</f>
        <v>49.28</v>
      </c>
      <c r="AI143">
        <f>ROUND((Source!AU85/100)*((ROUND(Source!AF85*Source!I85,2)+ROUND(Source!AE85*Source!I85,2))),2)</f>
        <v>1.15</v>
      </c>
      <c r="AJ143">
        <f>Source!Y85</f>
        <v>42.43</v>
      </c>
      <c r="AS143">
        <f>IF(Source!BI85&lt;=1,AH143,0)</f>
        <v>49.28</v>
      </c>
      <c r="AT143">
        <f>IF(Source!BI85&lt;=1,AJ143,0)</f>
        <v>42.43</v>
      </c>
      <c r="BC143">
        <f>IF(Source!BI85=2,AH143,0)</f>
        <v>0</v>
      </c>
      <c r="BD143">
        <f>IF(Source!BI85=2,AJ143,0)</f>
        <v>0</v>
      </c>
    </row>
    <row r="144" ht="63.75">
      <c r="B144" s="45" t="str">
        <f>Source!EO85</f>
        <v>Поправка: МДС 81-35.2004, п.4.7  Поправка: М-ка 421/пр 04.08.20 п.58 п.п. б)</v>
      </c>
    </row>
    <row r="145" ht="12.75">
      <c r="C145" s="46" t="str">
        <f>"Объем: "&amp;Source!K85&amp;"=45/"&amp;"1000"</f>
        <v>Объем: 0,045=45/1000</v>
      </c>
    </row>
    <row r="146" spans="1:12" ht="14.25">
      <c r="A146" s="72"/>
      <c r="B146" s="73">
        <v>1</v>
      </c>
      <c r="C146" s="72" t="s">
        <v>411</v>
      </c>
      <c r="D146" s="54"/>
      <c r="E146" s="55"/>
      <c r="F146" s="55"/>
      <c r="G146" s="55"/>
      <c r="H146" s="49">
        <f>Source!AO85</f>
        <v>3.29</v>
      </c>
      <c r="I146" s="56">
        <f>ROUND((2)*1.15,7)</f>
        <v>2.3</v>
      </c>
      <c r="J146" s="49">
        <f>ROUND(Source!AF85*Source!I85,2)</f>
        <v>0.34</v>
      </c>
      <c r="K146" s="56">
        <f>IF(Source!BA85&lt;&gt;0,Source!BA85,1)</f>
        <v>36.87</v>
      </c>
      <c r="L146" s="49">
        <f>Source!S85</f>
        <v>12.56</v>
      </c>
    </row>
    <row r="147" spans="1:12" ht="14.25">
      <c r="A147" s="72"/>
      <c r="B147" s="73">
        <v>3</v>
      </c>
      <c r="C147" s="72" t="s">
        <v>412</v>
      </c>
      <c r="D147" s="54"/>
      <c r="E147" s="55"/>
      <c r="F147" s="55"/>
      <c r="G147" s="55"/>
      <c r="H147" s="49">
        <f>Source!AM85</f>
        <v>254.89</v>
      </c>
      <c r="I147" s="56">
        <f>ROUND((2)*1.25,7)</f>
        <v>2.5</v>
      </c>
      <c r="J147" s="49">
        <f>ROUND(((((Source!ET85*ROUND((2*1.25),7)))-((Source!EU85*ROUND((2*1.25),7))))+Source!AE85)*Source!I85,2)</f>
        <v>28.68</v>
      </c>
      <c r="K147" s="56">
        <f>IF(Source!BB85&lt;&gt;0,Source!BB85,1)</f>
        <v>13.09</v>
      </c>
      <c r="L147" s="49">
        <f>Source!Q85</f>
        <v>375.37</v>
      </c>
    </row>
    <row r="148" spans="1:12" ht="14.25">
      <c r="A148" s="72"/>
      <c r="B148" s="73">
        <v>2</v>
      </c>
      <c r="C148" s="72" t="s">
        <v>413</v>
      </c>
      <c r="D148" s="54"/>
      <c r="E148" s="55"/>
      <c r="F148" s="55"/>
      <c r="G148" s="55"/>
      <c r="H148" s="49">
        <f>Source!AN85</f>
        <v>5.95</v>
      </c>
      <c r="I148" s="56">
        <f>ROUND((2)*1.25,7)</f>
        <v>2.5</v>
      </c>
      <c r="J148" s="57">
        <f>ROUND(Source!AE85*Source!I85,2)</f>
        <v>0.67</v>
      </c>
      <c r="K148" s="56">
        <f>IF(Source!BS85&lt;&gt;0,Source!BS85,1)</f>
        <v>36.87</v>
      </c>
      <c r="L148" s="57">
        <f>Source!R85</f>
        <v>24.69</v>
      </c>
    </row>
    <row r="149" spans="1:12" ht="14.25">
      <c r="A149" s="72"/>
      <c r="B149" s="73">
        <v>4</v>
      </c>
      <c r="C149" s="72" t="s">
        <v>414</v>
      </c>
      <c r="D149" s="54"/>
      <c r="E149" s="55"/>
      <c r="F149" s="55"/>
      <c r="G149" s="55"/>
      <c r="H149" s="49">
        <f>Source!AL85</f>
        <v>2.94</v>
      </c>
      <c r="I149" s="56">
        <f>ROUND(2,7)</f>
        <v>2</v>
      </c>
      <c r="J149" s="49">
        <f>ROUND(Source!AC85*Source!I85,2)</f>
        <v>0.26</v>
      </c>
      <c r="K149" s="56">
        <f>IF(Source!BC85&lt;&gt;0,Source!BC85,1)</f>
        <v>6.65</v>
      </c>
      <c r="L149" s="49">
        <f>Source!P85</f>
        <v>1.76</v>
      </c>
    </row>
    <row r="150" spans="1:12" ht="14.25">
      <c r="A150" s="72"/>
      <c r="B150" s="72"/>
      <c r="C150" s="72" t="s">
        <v>415</v>
      </c>
      <c r="D150" s="54" t="s">
        <v>416</v>
      </c>
      <c r="E150" s="55">
        <f>Source!AQ85</f>
        <v>0.35</v>
      </c>
      <c r="F150" s="55">
        <f>ROUND((2)*1.15,7)</f>
        <v>2.3</v>
      </c>
      <c r="G150" s="99">
        <f>ROUND(Source!U85,7)</f>
        <v>0.036225</v>
      </c>
      <c r="H150" s="49"/>
      <c r="I150" s="56"/>
      <c r="J150" s="49"/>
      <c r="K150" s="56"/>
      <c r="L150" s="49"/>
    </row>
    <row r="151" spans="1:12" ht="14.25">
      <c r="A151" s="72"/>
      <c r="B151" s="72"/>
      <c r="C151" s="74" t="s">
        <v>417</v>
      </c>
      <c r="D151" s="58" t="s">
        <v>416</v>
      </c>
      <c r="E151" s="59">
        <f>Source!AR85</f>
        <v>0.47</v>
      </c>
      <c r="F151" s="59">
        <f>ROUND((2)*1.25,7)</f>
        <v>2.5</v>
      </c>
      <c r="G151" s="100">
        <f>ROUND(Source!V85,7)</f>
        <v>0.052875</v>
      </c>
      <c r="H151" s="60"/>
      <c r="I151" s="61"/>
      <c r="J151" s="60"/>
      <c r="K151" s="61"/>
      <c r="L151" s="60"/>
    </row>
    <row r="152" spans="1:12" ht="14.25">
      <c r="A152" s="72"/>
      <c r="B152" s="72"/>
      <c r="C152" s="72" t="s">
        <v>418</v>
      </c>
      <c r="D152" s="54"/>
      <c r="E152" s="55"/>
      <c r="F152" s="55"/>
      <c r="G152" s="55"/>
      <c r="H152" s="49">
        <f>H146+H147+H149</f>
        <v>261.12</v>
      </c>
      <c r="I152" s="56"/>
      <c r="J152" s="49">
        <f>J146+J147+J149</f>
        <v>29.28</v>
      </c>
      <c r="K152" s="56"/>
      <c r="L152" s="49">
        <f>L146+L147+L149</f>
        <v>389.69</v>
      </c>
    </row>
    <row r="153" spans="1:56" ht="71.25">
      <c r="A153" s="72" t="s">
        <v>148</v>
      </c>
      <c r="B153" s="72" t="s">
        <v>454</v>
      </c>
      <c r="C153" s="72" t="str">
        <f>Source!G87</f>
        <v>Смеси асфальтобетонные дорожные, аэродромные и асфальтобетон (горячие для плотного асфальтобетона мелко и крупнозернистые, песчаные), марка: I, тип В</v>
      </c>
      <c r="D153" s="54" t="str">
        <f>Source!DW87</f>
        <v>т</v>
      </c>
      <c r="E153" s="99">
        <f>SmtRes!AT126</f>
        <v>24.933333</v>
      </c>
      <c r="F153" s="55"/>
      <c r="G153" s="99">
        <f>Source!I87</f>
        <v>1.122</v>
      </c>
      <c r="H153" s="49">
        <f>Source!AL87+Source!AO87+Source!AM87</f>
        <v>480</v>
      </c>
      <c r="I153" s="56"/>
      <c r="J153" s="49">
        <f>ROUND(Source!AC87*Source!I87,2)+ROUND((((Source!ET87)-(Source!EU87))+Source!AE87)*Source!I87,2)+ROUND(Source!AF87*Source!I87,2)</f>
        <v>538.56</v>
      </c>
      <c r="K153" s="56">
        <f>IF(Source!BC87&lt;&gt;0,Source!BC87,1)</f>
        <v>6.65</v>
      </c>
      <c r="L153" s="49">
        <f>Source!O87</f>
        <v>3581.42</v>
      </c>
      <c r="AF153" s="48">
        <f>J153</f>
        <v>538.56</v>
      </c>
      <c r="AG153">
        <f>ROUND((Source!AT87/100)*((ROUND(Source!AF87*Source!I87,2)+ROUND(Source!AE87*Source!I87,2))),2)</f>
        <v>0</v>
      </c>
      <c r="AH153">
        <f>Source!X87</f>
        <v>0</v>
      </c>
      <c r="AI153">
        <f>ROUND((Source!AU87/100)*((ROUND(Source!AF87*Source!I87,2)+ROUND(Source!AE87*Source!I87,2))),2)</f>
        <v>0</v>
      </c>
      <c r="AJ153">
        <f>Source!Y87</f>
        <v>0</v>
      </c>
      <c r="AN153">
        <f>IF(Source!BI87&lt;=1,J153,0)</f>
        <v>538.56</v>
      </c>
      <c r="AO153">
        <f>IF(Source!BI87&lt;=1,J153,0)</f>
        <v>538.56</v>
      </c>
      <c r="AS153">
        <f>IF(Source!BI87&lt;=1,AH153,0)</f>
        <v>0</v>
      </c>
      <c r="AT153">
        <f>IF(Source!BI87&lt;=1,AJ153,0)</f>
        <v>0</v>
      </c>
      <c r="AX153">
        <f>IF(Source!BI87=2,J153,0)</f>
        <v>0</v>
      </c>
      <c r="AY153">
        <f>IF(Source!BI87=2,J153,0)</f>
        <v>0</v>
      </c>
      <c r="BC153">
        <f>IF(Source!BI87=2,AH153,0)</f>
        <v>0</v>
      </c>
      <c r="BD153">
        <f>IF(Source!BI87=2,AJ153,0)</f>
        <v>0</v>
      </c>
    </row>
    <row r="154" spans="1:12" ht="14.25">
      <c r="A154" s="72"/>
      <c r="B154" s="72"/>
      <c r="C154" s="72" t="s">
        <v>422</v>
      </c>
      <c r="D154" s="54"/>
      <c r="E154" s="55"/>
      <c r="F154" s="55"/>
      <c r="G154" s="55"/>
      <c r="H154" s="49"/>
      <c r="I154" s="56"/>
      <c r="J154" s="49">
        <f>SUM(Q143:Q157)+SUM(V143:V157)+SUM(X143:X157)+SUM(Y143:Y157)</f>
        <v>1.01</v>
      </c>
      <c r="K154" s="56"/>
      <c r="L154" s="49">
        <f>SUM(U143:U157)+SUM(W143:W157)+SUM(Z143:Z157)+SUM(AA143:AA157)</f>
        <v>37.25</v>
      </c>
    </row>
    <row r="155" spans="1:12" ht="28.5">
      <c r="A155" s="72"/>
      <c r="B155" s="72" t="s">
        <v>423</v>
      </c>
      <c r="C155" s="72" t="s">
        <v>424</v>
      </c>
      <c r="D155" s="54" t="s">
        <v>425</v>
      </c>
      <c r="E155" s="55">
        <f>Source!BZ85</f>
        <v>147</v>
      </c>
      <c r="F155" s="55">
        <f>ROUND(0.9,7)</f>
        <v>0.9</v>
      </c>
      <c r="G155" s="55">
        <f>Source!AT85</f>
        <v>132.3</v>
      </c>
      <c r="H155" s="49"/>
      <c r="I155" s="56"/>
      <c r="J155" s="49">
        <f>SUM(AG143:AG157)</f>
        <v>1.34</v>
      </c>
      <c r="K155" s="56"/>
      <c r="L155" s="49">
        <f>SUM(AH143:AH157)</f>
        <v>49.28</v>
      </c>
    </row>
    <row r="156" spans="1:12" ht="28.5">
      <c r="A156" s="74"/>
      <c r="B156" s="74" t="s">
        <v>426</v>
      </c>
      <c r="C156" s="74" t="s">
        <v>427</v>
      </c>
      <c r="D156" s="58" t="s">
        <v>425</v>
      </c>
      <c r="E156" s="59">
        <f>Source!CA85</f>
        <v>134</v>
      </c>
      <c r="F156" s="59">
        <f>ROUND(0.85,7)</f>
        <v>0.85</v>
      </c>
      <c r="G156" s="59">
        <f>Source!AU85</f>
        <v>113.9</v>
      </c>
      <c r="H156" s="60"/>
      <c r="I156" s="61"/>
      <c r="J156" s="60">
        <f>SUM(AI143:AI157)</f>
        <v>1.15</v>
      </c>
      <c r="K156" s="61"/>
      <c r="L156" s="60">
        <f>SUM(AJ143:AJ157)</f>
        <v>42.43</v>
      </c>
    </row>
    <row r="157" spans="3:53" ht="15">
      <c r="C157" s="133" t="s">
        <v>428</v>
      </c>
      <c r="D157" s="133"/>
      <c r="E157" s="133"/>
      <c r="F157" s="133"/>
      <c r="G157" s="133"/>
      <c r="H157" s="133"/>
      <c r="I157" s="133">
        <f>J146+J147+J149+J155+J156+SUM(J153:J153)</f>
        <v>570.3299999999999</v>
      </c>
      <c r="J157" s="133"/>
      <c r="K157" s="133">
        <f>L146+L147+L149+L155+L156+SUM(L153:L153)</f>
        <v>4062.82</v>
      </c>
      <c r="L157" s="133"/>
      <c r="O157" s="48">
        <f>I157</f>
        <v>570.3299999999999</v>
      </c>
      <c r="P157" s="48">
        <f>K157</f>
        <v>4062.82</v>
      </c>
      <c r="Q157" s="48">
        <f>J146</f>
        <v>0.34</v>
      </c>
      <c r="R157" s="48">
        <f>J146</f>
        <v>0.34</v>
      </c>
      <c r="U157" s="48">
        <f>L146</f>
        <v>12.56</v>
      </c>
      <c r="X157" s="48">
        <f>J148</f>
        <v>0.67</v>
      </c>
      <c r="Z157" s="48">
        <f>L148</f>
        <v>24.69</v>
      </c>
      <c r="AB157" s="48">
        <f>J147</f>
        <v>28.68</v>
      </c>
      <c r="AD157" s="48">
        <f>L147</f>
        <v>375.37</v>
      </c>
      <c r="AF157" s="48">
        <f>J149</f>
        <v>0.26</v>
      </c>
      <c r="AN157">
        <f>IF(Source!BI85&lt;=1,J146+J147+J149+J155+J156,0)</f>
        <v>31.77</v>
      </c>
      <c r="AO157">
        <f>IF(Source!BI85&lt;=1,J149,0)</f>
        <v>0.26</v>
      </c>
      <c r="AP157">
        <f>IF(Source!BI85&lt;=1,J147,0)</f>
        <v>28.68</v>
      </c>
      <c r="AQ157">
        <f>IF(Source!BI85&lt;=1,J146,0)</f>
        <v>0.34</v>
      </c>
      <c r="AX157">
        <f>IF(Source!BI85=2,J146+J147+J149+J155+J156,0)</f>
        <v>0</v>
      </c>
      <c r="AY157">
        <f>IF(Source!BI85=2,J149,0)</f>
        <v>0</v>
      </c>
      <c r="AZ157">
        <f>IF(Source!BI85=2,J147,0)</f>
        <v>0</v>
      </c>
      <c r="BA157">
        <f>IF(Source!BI85=2,J146,0)</f>
        <v>0</v>
      </c>
    </row>
    <row r="159" spans="1:95" ht="15">
      <c r="A159" s="64"/>
      <c r="B159" s="65"/>
      <c r="C159" s="134" t="s">
        <v>433</v>
      </c>
      <c r="D159" s="134"/>
      <c r="E159" s="134"/>
      <c r="F159" s="134"/>
      <c r="G159" s="134"/>
      <c r="H159" s="134"/>
      <c r="I159" s="66"/>
      <c r="J159" s="67">
        <f>J161+J162+J163+J164</f>
        <v>17481.83</v>
      </c>
      <c r="K159" s="67"/>
      <c r="L159" s="67">
        <f>L161+L162+L163+L164</f>
        <v>150897.46000000002</v>
      </c>
      <c r="CQ159" s="76" t="s">
        <v>433</v>
      </c>
    </row>
    <row r="160" spans="1:12" ht="14.25">
      <c r="A160" s="68"/>
      <c r="B160" s="69"/>
      <c r="C160" s="130" t="s">
        <v>434</v>
      </c>
      <c r="D160" s="127"/>
      <c r="E160" s="127"/>
      <c r="F160" s="127"/>
      <c r="G160" s="127"/>
      <c r="H160" s="127"/>
      <c r="I160" s="70"/>
      <c r="J160" s="71"/>
      <c r="K160" s="71"/>
      <c r="L160" s="71"/>
    </row>
    <row r="161" spans="1:12" ht="14.25">
      <c r="A161" s="68"/>
      <c r="B161" s="69"/>
      <c r="C161" s="127" t="s">
        <v>435</v>
      </c>
      <c r="D161" s="127"/>
      <c r="E161" s="127"/>
      <c r="F161" s="127"/>
      <c r="G161" s="127"/>
      <c r="H161" s="127"/>
      <c r="I161" s="70"/>
      <c r="J161" s="71">
        <f>SUM(Q112:Q157)</f>
        <v>1021.6200000000001</v>
      </c>
      <c r="K161" s="71"/>
      <c r="L161" s="71">
        <f>SUM(U112:U157)</f>
        <v>37667.12</v>
      </c>
    </row>
    <row r="162" spans="1:12" ht="14.25">
      <c r="A162" s="68"/>
      <c r="B162" s="69"/>
      <c r="C162" s="127" t="s">
        <v>436</v>
      </c>
      <c r="D162" s="127"/>
      <c r="E162" s="127"/>
      <c r="F162" s="127"/>
      <c r="G162" s="127"/>
      <c r="H162" s="127"/>
      <c r="I162" s="70"/>
      <c r="J162" s="71">
        <f>SUM(AB112:AB157)</f>
        <v>585.39</v>
      </c>
      <c r="K162" s="71"/>
      <c r="L162" s="71">
        <f>SUM(AD112:AD157)</f>
        <v>7662.79</v>
      </c>
    </row>
    <row r="163" spans="1:12" ht="14.25">
      <c r="A163" s="68"/>
      <c r="B163" s="69"/>
      <c r="C163" s="127" t="s">
        <v>437</v>
      </c>
      <c r="D163" s="127"/>
      <c r="E163" s="127"/>
      <c r="F163" s="127"/>
      <c r="G163" s="127"/>
      <c r="H163" s="127"/>
      <c r="I163" s="70"/>
      <c r="J163" s="71">
        <f>SUM(AF112:AF157)-J168</f>
        <v>15874.82</v>
      </c>
      <c r="K163" s="71"/>
      <c r="L163" s="71">
        <f>Source!P92-L168</f>
        <v>105567.55</v>
      </c>
    </row>
    <row r="164" spans="1:12" ht="14.25">
      <c r="A164" s="68"/>
      <c r="B164" s="69"/>
      <c r="C164" s="127" t="s">
        <v>438</v>
      </c>
      <c r="D164" s="127"/>
      <c r="E164" s="127"/>
      <c r="F164" s="127"/>
      <c r="G164" s="127"/>
      <c r="H164" s="127"/>
      <c r="I164" s="70"/>
      <c r="J164" s="71">
        <f>SUM(AR112:AR157)+SUM(BB112:BB157)+SUM(BI112:BI157)+SUM(BP112:BP157)</f>
        <v>0</v>
      </c>
      <c r="K164" s="71"/>
      <c r="L164" s="71">
        <f>Source!P114</f>
        <v>0</v>
      </c>
    </row>
    <row r="165" spans="1:12" ht="14.25">
      <c r="A165" s="68"/>
      <c r="B165" s="69"/>
      <c r="C165" s="127" t="s">
        <v>439</v>
      </c>
      <c r="D165" s="127"/>
      <c r="E165" s="127"/>
      <c r="F165" s="127"/>
      <c r="G165" s="127"/>
      <c r="H165" s="127"/>
      <c r="I165" s="70"/>
      <c r="J165" s="71">
        <f>SUM(Q112:Q157)+SUM(X112:X157)</f>
        <v>1051.69</v>
      </c>
      <c r="K165" s="71"/>
      <c r="L165" s="71">
        <f>SUM(U112:U157)+SUM(Z112:Z157)</f>
        <v>38775.780000000006</v>
      </c>
    </row>
    <row r="166" spans="1:12" ht="14.25">
      <c r="A166" s="68"/>
      <c r="B166" s="69"/>
      <c r="C166" s="127" t="s">
        <v>440</v>
      </c>
      <c r="D166" s="127"/>
      <c r="E166" s="127"/>
      <c r="F166" s="127"/>
      <c r="G166" s="127"/>
      <c r="H166" s="127"/>
      <c r="I166" s="70"/>
      <c r="J166" s="71">
        <f>SUM(AG112:AG157)</f>
        <v>1391.3899999999999</v>
      </c>
      <c r="K166" s="71"/>
      <c r="L166" s="71">
        <f>Source!P115</f>
        <v>51300.35</v>
      </c>
    </row>
    <row r="167" spans="1:12" ht="14.25">
      <c r="A167" s="68"/>
      <c r="B167" s="69"/>
      <c r="C167" s="127" t="s">
        <v>441</v>
      </c>
      <c r="D167" s="127"/>
      <c r="E167" s="127"/>
      <c r="F167" s="127"/>
      <c r="G167" s="127"/>
      <c r="H167" s="127"/>
      <c r="I167" s="70"/>
      <c r="J167" s="71">
        <f>SUM(AI112:AI157)</f>
        <v>1197.88</v>
      </c>
      <c r="K167" s="71"/>
      <c r="L167" s="71">
        <f>Source!P116</f>
        <v>44165.61</v>
      </c>
    </row>
    <row r="168" spans="1:12" ht="14.25">
      <c r="A168" s="68"/>
      <c r="B168" s="69"/>
      <c r="C168" s="127" t="s">
        <v>442</v>
      </c>
      <c r="D168" s="127"/>
      <c r="E168" s="127"/>
      <c r="F168" s="127"/>
      <c r="G168" s="127"/>
      <c r="H168" s="127"/>
      <c r="I168" s="70"/>
      <c r="J168" s="71">
        <f>SUM(BH112:BH157)</f>
        <v>0</v>
      </c>
      <c r="K168" s="71"/>
      <c r="L168" s="71">
        <f>Source!P98</f>
        <v>0</v>
      </c>
    </row>
    <row r="169" spans="1:12" ht="14.25">
      <c r="A169" s="68"/>
      <c r="B169" s="69"/>
      <c r="C169" s="127" t="s">
        <v>443</v>
      </c>
      <c r="D169" s="127"/>
      <c r="E169" s="127"/>
      <c r="F169" s="127"/>
      <c r="G169" s="127"/>
      <c r="H169" s="127"/>
      <c r="I169" s="70"/>
      <c r="J169" s="71">
        <f>SUM(BM112:BM157)+SUM(BN112:BN157)+SUM(BO112:BO157)+SUM(BP112:BP157)</f>
        <v>0</v>
      </c>
      <c r="K169" s="71"/>
      <c r="L169" s="71">
        <f>Source!P108</f>
        <v>0</v>
      </c>
    </row>
    <row r="170" spans="1:12" ht="15">
      <c r="A170" s="64"/>
      <c r="B170" s="65"/>
      <c r="C170" s="134" t="s">
        <v>444</v>
      </c>
      <c r="D170" s="134"/>
      <c r="E170" s="134"/>
      <c r="F170" s="134"/>
      <c r="G170" s="134"/>
      <c r="H170" s="134"/>
      <c r="I170" s="66"/>
      <c r="J170" s="67">
        <f>J159+J166+J167+J168</f>
        <v>20071.100000000002</v>
      </c>
      <c r="K170" s="67"/>
      <c r="L170" s="67">
        <f>Source!P117</f>
        <v>246363.42</v>
      </c>
    </row>
    <row r="171" spans="1:12" ht="14.25">
      <c r="A171" s="68"/>
      <c r="B171" s="69"/>
      <c r="C171" s="130" t="s">
        <v>445</v>
      </c>
      <c r="D171" s="127"/>
      <c r="E171" s="127"/>
      <c r="F171" s="127"/>
      <c r="G171" s="127"/>
      <c r="H171" s="127"/>
      <c r="I171" s="70"/>
      <c r="J171" s="71"/>
      <c r="K171" s="71"/>
      <c r="L171" s="71"/>
    </row>
    <row r="172" spans="1:12" ht="14.25">
      <c r="A172" s="68"/>
      <c r="B172" s="69"/>
      <c r="C172" s="127" t="s">
        <v>446</v>
      </c>
      <c r="D172" s="127"/>
      <c r="E172" s="127"/>
      <c r="F172" s="127"/>
      <c r="G172" s="127"/>
      <c r="H172" s="127"/>
      <c r="I172" s="70"/>
      <c r="J172" s="71"/>
      <c r="K172" s="71"/>
      <c r="L172" s="71">
        <f>SUM(BS112:BS157)</f>
        <v>0</v>
      </c>
    </row>
    <row r="173" spans="1:12" ht="14.25">
      <c r="A173" s="68"/>
      <c r="B173" s="69"/>
      <c r="C173" s="127" t="s">
        <v>447</v>
      </c>
      <c r="D173" s="127"/>
      <c r="E173" s="127"/>
      <c r="F173" s="127"/>
      <c r="G173" s="127"/>
      <c r="H173" s="127"/>
      <c r="I173" s="70"/>
      <c r="J173" s="71"/>
      <c r="K173" s="71"/>
      <c r="L173" s="71">
        <f>SUM(BT112:BT157)</f>
        <v>0</v>
      </c>
    </row>
    <row r="174" spans="3:12" ht="14.25">
      <c r="C174" s="126" t="str">
        <f>Source!H118</f>
        <v>итого по разделу</v>
      </c>
      <c r="D174" s="126"/>
      <c r="E174" s="126"/>
      <c r="F174" s="126"/>
      <c r="G174" s="126"/>
      <c r="H174" s="126"/>
      <c r="I174" s="126"/>
      <c r="J174" s="126"/>
      <c r="K174" s="126"/>
      <c r="L174" s="49">
        <f>IF(Source!AB118=0,"",Source!AB118)</f>
        <v>246363.42</v>
      </c>
    </row>
    <row r="176" spans="1:12" ht="16.5">
      <c r="A176" s="129" t="s">
        <v>457</v>
      </c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</row>
    <row r="177" spans="1:56" ht="42.75">
      <c r="A177" s="72">
        <v>7</v>
      </c>
      <c r="B177" s="72" t="s">
        <v>458</v>
      </c>
      <c r="C177" s="72" t="str">
        <f>Source!G125</f>
        <v>Погрузочные работы при автомобильных перевозках мусора строительного с погрузкой вручную</v>
      </c>
      <c r="D177" s="54" t="str">
        <f>Source!DW125</f>
        <v>1 Т ГРУЗА</v>
      </c>
      <c r="E177" s="55">
        <f>Source!K125</f>
        <v>11.7</v>
      </c>
      <c r="F177" s="55"/>
      <c r="G177" s="55">
        <f>Source!I125</f>
        <v>11.7</v>
      </c>
      <c r="H177" s="49">
        <f>Source!AK125</f>
        <v>42.98</v>
      </c>
      <c r="I177" s="56"/>
      <c r="J177" s="49">
        <f>ROUND(Source!AB125*Source!I125,2)</f>
        <v>502.87</v>
      </c>
      <c r="K177" s="56">
        <f>Source!AZ125</f>
        <v>13.09</v>
      </c>
      <c r="L177" s="49">
        <f>Source!GM125</f>
        <v>6582.52</v>
      </c>
      <c r="AG177">
        <f>ROUND((Source!AT125/100)*((ROUND(0*Source!I125,2)+ROUND(0*Source!I125,2))),2)</f>
        <v>0</v>
      </c>
      <c r="AH177">
        <f>Source!X125</f>
        <v>0</v>
      </c>
      <c r="AI177">
        <f>ROUND((Source!AU125/100)*((ROUND(0*Source!I125,2)+ROUND(0*Source!I125,2))),2)</f>
        <v>0</v>
      </c>
      <c r="AJ177">
        <f>Source!Y125</f>
        <v>0</v>
      </c>
      <c r="AS177">
        <f>IF(Source!BI125&lt;=1,AH177,0)</f>
        <v>0</v>
      </c>
      <c r="AT177">
        <f>IF(Source!BI125&lt;=1,AJ177,0)</f>
        <v>0</v>
      </c>
      <c r="BC177">
        <f>IF(Source!BI125=2,AH177,0)</f>
        <v>0</v>
      </c>
      <c r="BD177">
        <f>IF(Source!BI125=2,AJ177,0)</f>
        <v>0</v>
      </c>
    </row>
    <row r="179" spans="1:12" ht="14.25">
      <c r="A179" s="72"/>
      <c r="B179" s="73">
        <v>1</v>
      </c>
      <c r="C179" s="72" t="s">
        <v>411</v>
      </c>
      <c r="D179" s="54"/>
      <c r="E179" s="55"/>
      <c r="F179" s="55"/>
      <c r="G179" s="55"/>
      <c r="H179" s="49">
        <f>Source!AO125</f>
        <v>0</v>
      </c>
      <c r="I179" s="56"/>
      <c r="J179" s="49">
        <f>ROUND(0*Source!I125,2)</f>
        <v>0</v>
      </c>
      <c r="K179" s="56">
        <f>IF(Source!AZ125&lt;&gt;0,Source!AZ125,1)</f>
        <v>13.09</v>
      </c>
      <c r="L179" s="49">
        <f>Source!S125</f>
        <v>0</v>
      </c>
    </row>
    <row r="180" spans="1:12" ht="14.25">
      <c r="A180" s="72"/>
      <c r="B180" s="73">
        <v>3</v>
      </c>
      <c r="C180" s="72" t="s">
        <v>412</v>
      </c>
      <c r="D180" s="54"/>
      <c r="E180" s="55"/>
      <c r="F180" s="55"/>
      <c r="G180" s="55"/>
      <c r="H180" s="49">
        <f>Source!AM125</f>
        <v>0</v>
      </c>
      <c r="I180" s="56"/>
      <c r="J180" s="49">
        <f>ROUND(0*Source!I125,2)</f>
        <v>0</v>
      </c>
      <c r="K180" s="56">
        <f>IF(Source!AZ125&lt;&gt;0,Source!AZ125,1)</f>
        <v>13.09</v>
      </c>
      <c r="L180" s="49">
        <f>Source!Q125</f>
        <v>0</v>
      </c>
    </row>
    <row r="181" spans="1:12" ht="14.25">
      <c r="A181" s="72"/>
      <c r="B181" s="73">
        <v>2</v>
      </c>
      <c r="C181" s="72" t="s">
        <v>413</v>
      </c>
      <c r="D181" s="54"/>
      <c r="E181" s="55"/>
      <c r="F181" s="55"/>
      <c r="G181" s="55"/>
      <c r="H181" s="49">
        <f>Source!AN125</f>
        <v>0</v>
      </c>
      <c r="I181" s="56"/>
      <c r="J181" s="57">
        <f>ROUND(0*Source!I125,2)</f>
        <v>0</v>
      </c>
      <c r="K181" s="56">
        <f>IF(Source!AZ125&lt;&gt;0,Source!AZ125,1)</f>
        <v>13.09</v>
      </c>
      <c r="L181" s="57">
        <f>Source!R125</f>
        <v>0</v>
      </c>
    </row>
    <row r="182" spans="1:12" ht="14.25">
      <c r="A182" s="72"/>
      <c r="B182" s="73">
        <v>4</v>
      </c>
      <c r="C182" s="72" t="s">
        <v>414</v>
      </c>
      <c r="D182" s="54"/>
      <c r="E182" s="55"/>
      <c r="F182" s="55"/>
      <c r="G182" s="55"/>
      <c r="H182" s="49">
        <f>Source!AL125</f>
        <v>0</v>
      </c>
      <c r="I182" s="56"/>
      <c r="J182" s="49">
        <f>ROUND(0*Source!I125,2)</f>
        <v>0</v>
      </c>
      <c r="K182" s="56">
        <f>IF(Source!AZ125&lt;&gt;0,Source!AZ125,1)</f>
        <v>13.09</v>
      </c>
      <c r="L182" s="49">
        <f>Source!P125</f>
        <v>0</v>
      </c>
    </row>
    <row r="183" spans="1:12" ht="14.25">
      <c r="A183" s="72"/>
      <c r="B183" s="72"/>
      <c r="C183" s="72" t="s">
        <v>415</v>
      </c>
      <c r="D183" s="54" t="s">
        <v>416</v>
      </c>
      <c r="E183" s="55">
        <f>Source!AQ125</f>
        <v>0</v>
      </c>
      <c r="F183" s="55"/>
      <c r="G183" s="55">
        <f>ROUND(Source!U125,7)</f>
        <v>0</v>
      </c>
      <c r="H183" s="49"/>
      <c r="I183" s="56"/>
      <c r="J183" s="49"/>
      <c r="K183" s="56"/>
      <c r="L183" s="49"/>
    </row>
    <row r="184" spans="1:12" ht="14.25">
      <c r="A184" s="72"/>
      <c r="B184" s="72"/>
      <c r="C184" s="74" t="s">
        <v>417</v>
      </c>
      <c r="D184" s="58" t="s">
        <v>416</v>
      </c>
      <c r="E184" s="59">
        <f>Source!AR125</f>
        <v>0</v>
      </c>
      <c r="F184" s="59"/>
      <c r="G184" s="59">
        <f>ROUND(Source!V125,7)</f>
        <v>0</v>
      </c>
      <c r="H184" s="60"/>
      <c r="I184" s="61"/>
      <c r="J184" s="60"/>
      <c r="K184" s="61"/>
      <c r="L184" s="60"/>
    </row>
    <row r="185" spans="1:12" ht="14.25">
      <c r="A185" s="72"/>
      <c r="B185" s="72"/>
      <c r="C185" s="72" t="s">
        <v>418</v>
      </c>
      <c r="D185" s="54"/>
      <c r="E185" s="55"/>
      <c r="F185" s="55"/>
      <c r="G185" s="55"/>
      <c r="H185" s="49">
        <f>H179+H180+H182</f>
        <v>0</v>
      </c>
      <c r="I185" s="56"/>
      <c r="J185" s="49">
        <f>J179+J180+J182</f>
        <v>0</v>
      </c>
      <c r="K185" s="56"/>
      <c r="L185" s="49">
        <f>L179+L180+L182</f>
        <v>0</v>
      </c>
    </row>
    <row r="186" spans="1:12" ht="14.25">
      <c r="A186" s="72"/>
      <c r="B186" s="72"/>
      <c r="C186" s="72" t="s">
        <v>422</v>
      </c>
      <c r="D186" s="54"/>
      <c r="E186" s="55"/>
      <c r="F186" s="55"/>
      <c r="G186" s="55"/>
      <c r="H186" s="49"/>
      <c r="I186" s="56"/>
      <c r="J186" s="49">
        <f>SUM(Q177:Q189)+SUM(V177:V189)+SUM(X177:X189)+SUM(Y177:Y189)</f>
        <v>0</v>
      </c>
      <c r="K186" s="56"/>
      <c r="L186" s="49">
        <f>SUM(U177:U189)+SUM(W177:W189)+SUM(Z177:Z189)+SUM(AA177:AA189)</f>
        <v>0</v>
      </c>
    </row>
    <row r="187" spans="1:12" ht="14.25">
      <c r="A187" s="72"/>
      <c r="B187" s="72"/>
      <c r="C187" s="72" t="s">
        <v>459</v>
      </c>
      <c r="D187" s="54" t="s">
        <v>425</v>
      </c>
      <c r="E187" s="55">
        <f>Source!BZ125</f>
        <v>0</v>
      </c>
      <c r="F187" s="55"/>
      <c r="G187" s="55">
        <f>Source!AT125</f>
        <v>0</v>
      </c>
      <c r="H187" s="49"/>
      <c r="I187" s="56"/>
      <c r="J187" s="49">
        <f>SUM(AG177:AG189)</f>
        <v>0</v>
      </c>
      <c r="K187" s="56"/>
      <c r="L187" s="49">
        <f>SUM(AH177:AH189)</f>
        <v>0</v>
      </c>
    </row>
    <row r="188" spans="1:12" ht="14.25">
      <c r="A188" s="74"/>
      <c r="B188" s="74"/>
      <c r="C188" s="74" t="s">
        <v>460</v>
      </c>
      <c r="D188" s="58" t="s">
        <v>425</v>
      </c>
      <c r="E188" s="59">
        <f>Source!CA125</f>
        <v>0</v>
      </c>
      <c r="F188" s="59"/>
      <c r="G188" s="59">
        <f>Source!AU125</f>
        <v>0</v>
      </c>
      <c r="H188" s="60"/>
      <c r="I188" s="61"/>
      <c r="J188" s="60">
        <f>SUM(AI177:AI189)</f>
        <v>0</v>
      </c>
      <c r="K188" s="61"/>
      <c r="L188" s="60">
        <f>SUM(AJ177:AJ189)</f>
        <v>0</v>
      </c>
    </row>
    <row r="189" spans="3:61" ht="15">
      <c r="C189" s="133" t="s">
        <v>428</v>
      </c>
      <c r="D189" s="133"/>
      <c r="E189" s="133"/>
      <c r="F189" s="133"/>
      <c r="G189" s="133"/>
      <c r="H189" s="133"/>
      <c r="I189" s="133">
        <f>J177</f>
        <v>502.87</v>
      </c>
      <c r="J189" s="133"/>
      <c r="K189" s="133">
        <f>L177</f>
        <v>6582.52</v>
      </c>
      <c r="L189" s="133"/>
      <c r="O189" s="48">
        <f>I189</f>
        <v>502.87</v>
      </c>
      <c r="P189" s="48">
        <f>K189</f>
        <v>6582.52</v>
      </c>
      <c r="R189" s="48">
        <f>J179</f>
        <v>0</v>
      </c>
      <c r="V189" s="48">
        <f>J179</f>
        <v>0</v>
      </c>
      <c r="W189" s="48">
        <f>L179</f>
        <v>0</v>
      </c>
      <c r="Y189" s="48">
        <f>J181</f>
        <v>0</v>
      </c>
      <c r="AA189" s="48">
        <f>L181</f>
        <v>0</v>
      </c>
      <c r="AC189" s="48">
        <f>J180</f>
        <v>0</v>
      </c>
      <c r="AE189" s="48">
        <f>L180</f>
        <v>0</v>
      </c>
      <c r="AF189" s="48">
        <f>J182</f>
        <v>0</v>
      </c>
      <c r="AO189">
        <f>IF(Source!BI125&lt;=1,J182,0)</f>
        <v>0</v>
      </c>
      <c r="AR189">
        <f>IF(Source!BI125&lt;=1,J177,0)</f>
        <v>502.87</v>
      </c>
      <c r="AY189">
        <f>IF(Source!BI125=2,J182,0)</f>
        <v>0</v>
      </c>
      <c r="BB189">
        <f>IF(Source!BI125=2,J177,0)</f>
        <v>0</v>
      </c>
      <c r="BI189">
        <f>IF(Source!BI125=3,J177,0)</f>
        <v>0</v>
      </c>
    </row>
    <row r="190" spans="1:56" ht="57">
      <c r="A190" s="72">
        <v>8</v>
      </c>
      <c r="B190" s="72" t="s">
        <v>461</v>
      </c>
      <c r="C190" s="72" t="str">
        <f>Source!G127</f>
        <v>Перевозка грузов I класса автомобилями бортовыми грузоподъемностью до 15 т на расстояние: до 61 км</v>
      </c>
      <c r="D190" s="54" t="str">
        <f>Source!DW127</f>
        <v>1 Т ГРУЗА</v>
      </c>
      <c r="E190" s="55">
        <f>Source!K127</f>
        <v>11.7</v>
      </c>
      <c r="F190" s="55"/>
      <c r="G190" s="55">
        <f>Source!I127</f>
        <v>11.7</v>
      </c>
      <c r="H190" s="49">
        <f>Source!AK127</f>
        <v>26.69</v>
      </c>
      <c r="I190" s="56"/>
      <c r="J190" s="49">
        <f>ROUND(Source!AB127*Source!I127,2)</f>
        <v>312.27</v>
      </c>
      <c r="K190" s="56">
        <f>Source!AZ127</f>
        <v>13.09</v>
      </c>
      <c r="L190" s="49">
        <f>Source!GM127</f>
        <v>4087.65</v>
      </c>
      <c r="AG190">
        <f>ROUND((Source!AT127/100)*((ROUND(0*Source!I127,2)+ROUND(0*Source!I127,2))),2)</f>
        <v>0</v>
      </c>
      <c r="AH190">
        <f>Source!X127</f>
        <v>0</v>
      </c>
      <c r="AI190">
        <f>ROUND((Source!AU127/100)*((ROUND(0*Source!I127,2)+ROUND(0*Source!I127,2))),2)</f>
        <v>0</v>
      </c>
      <c r="AJ190">
        <f>Source!Y127</f>
        <v>0</v>
      </c>
      <c r="AS190">
        <f>IF(Source!BI127&lt;=1,AH190,0)</f>
        <v>0</v>
      </c>
      <c r="AT190">
        <f>IF(Source!BI127&lt;=1,AJ190,0)</f>
        <v>0</v>
      </c>
      <c r="BC190">
        <f>IF(Source!BI127=2,AH190,0)</f>
        <v>0</v>
      </c>
      <c r="BD190">
        <f>IF(Source!BI127=2,AJ190,0)</f>
        <v>0</v>
      </c>
    </row>
    <row r="192" spans="1:12" ht="14.25">
      <c r="A192" s="72"/>
      <c r="B192" s="73">
        <v>1</v>
      </c>
      <c r="C192" s="72" t="s">
        <v>411</v>
      </c>
      <c r="D192" s="54"/>
      <c r="E192" s="55"/>
      <c r="F192" s="55"/>
      <c r="G192" s="55"/>
      <c r="H192" s="49">
        <f>Source!AO127</f>
        <v>0</v>
      </c>
      <c r="I192" s="56"/>
      <c r="J192" s="49">
        <f>ROUND(0*Source!I127,2)</f>
        <v>0</v>
      </c>
      <c r="K192" s="56">
        <f>IF(Source!AZ127&lt;&gt;0,Source!AZ127,1)</f>
        <v>13.09</v>
      </c>
      <c r="L192" s="49">
        <f>Source!S127</f>
        <v>0</v>
      </c>
    </row>
    <row r="193" spans="1:12" ht="14.25">
      <c r="A193" s="72"/>
      <c r="B193" s="73">
        <v>3</v>
      </c>
      <c r="C193" s="72" t="s">
        <v>412</v>
      </c>
      <c r="D193" s="54"/>
      <c r="E193" s="55"/>
      <c r="F193" s="55"/>
      <c r="G193" s="55"/>
      <c r="H193" s="49">
        <f>Source!AM127</f>
        <v>0</v>
      </c>
      <c r="I193" s="56"/>
      <c r="J193" s="49">
        <f>ROUND(0*Source!I127,2)</f>
        <v>0</v>
      </c>
      <c r="K193" s="56">
        <f>IF(Source!AZ127&lt;&gt;0,Source!AZ127,1)</f>
        <v>13.09</v>
      </c>
      <c r="L193" s="49">
        <f>Source!Q127</f>
        <v>0</v>
      </c>
    </row>
    <row r="194" spans="1:12" ht="14.25">
      <c r="A194" s="72"/>
      <c r="B194" s="73">
        <v>2</v>
      </c>
      <c r="C194" s="72" t="s">
        <v>413</v>
      </c>
      <c r="D194" s="54"/>
      <c r="E194" s="55"/>
      <c r="F194" s="55"/>
      <c r="G194" s="55"/>
      <c r="H194" s="49">
        <f>Source!AN127</f>
        <v>0</v>
      </c>
      <c r="I194" s="56"/>
      <c r="J194" s="57">
        <f>ROUND(0*Source!I127,2)</f>
        <v>0</v>
      </c>
      <c r="K194" s="56">
        <f>IF(Source!AZ127&lt;&gt;0,Source!AZ127,1)</f>
        <v>13.09</v>
      </c>
      <c r="L194" s="57">
        <f>Source!R127</f>
        <v>0</v>
      </c>
    </row>
    <row r="195" spans="1:12" ht="14.25">
      <c r="A195" s="72"/>
      <c r="B195" s="73">
        <v>4</v>
      </c>
      <c r="C195" s="72" t="s">
        <v>414</v>
      </c>
      <c r="D195" s="54"/>
      <c r="E195" s="55"/>
      <c r="F195" s="55"/>
      <c r="G195" s="55"/>
      <c r="H195" s="49">
        <f>Source!AL127</f>
        <v>0</v>
      </c>
      <c r="I195" s="56"/>
      <c r="J195" s="49">
        <f>ROUND(0*Source!I127,2)</f>
        <v>0</v>
      </c>
      <c r="K195" s="56">
        <f>IF(Source!AZ127&lt;&gt;0,Source!AZ127,1)</f>
        <v>13.09</v>
      </c>
      <c r="L195" s="49">
        <f>Source!P127</f>
        <v>0</v>
      </c>
    </row>
    <row r="196" spans="1:12" ht="14.25">
      <c r="A196" s="72"/>
      <c r="B196" s="72"/>
      <c r="C196" s="72" t="s">
        <v>415</v>
      </c>
      <c r="D196" s="54" t="s">
        <v>416</v>
      </c>
      <c r="E196" s="55">
        <f>Source!AQ127</f>
        <v>0</v>
      </c>
      <c r="F196" s="55"/>
      <c r="G196" s="55">
        <f>ROUND(Source!U127,7)</f>
        <v>0</v>
      </c>
      <c r="H196" s="49"/>
      <c r="I196" s="56"/>
      <c r="J196" s="49"/>
      <c r="K196" s="56"/>
      <c r="L196" s="49"/>
    </row>
    <row r="197" spans="1:12" ht="14.25">
      <c r="A197" s="72"/>
      <c r="B197" s="72"/>
      <c r="C197" s="74" t="s">
        <v>417</v>
      </c>
      <c r="D197" s="58" t="s">
        <v>416</v>
      </c>
      <c r="E197" s="59">
        <f>Source!AR127</f>
        <v>0</v>
      </c>
      <c r="F197" s="59"/>
      <c r="G197" s="59">
        <f>ROUND(Source!V127,7)</f>
        <v>0</v>
      </c>
      <c r="H197" s="60"/>
      <c r="I197" s="61"/>
      <c r="J197" s="60"/>
      <c r="K197" s="61"/>
      <c r="L197" s="60"/>
    </row>
    <row r="198" spans="1:12" ht="14.25">
      <c r="A198" s="72"/>
      <c r="B198" s="72"/>
      <c r="C198" s="72" t="s">
        <v>418</v>
      </c>
      <c r="D198" s="54"/>
      <c r="E198" s="55"/>
      <c r="F198" s="55"/>
      <c r="G198" s="55"/>
      <c r="H198" s="49">
        <f>H192+H193+H195</f>
        <v>0</v>
      </c>
      <c r="I198" s="56"/>
      <c r="J198" s="49">
        <f>J192+J193+J195</f>
        <v>0</v>
      </c>
      <c r="K198" s="56"/>
      <c r="L198" s="49">
        <f>L192+L193+L195</f>
        <v>0</v>
      </c>
    </row>
    <row r="199" spans="1:12" ht="14.25">
      <c r="A199" s="72"/>
      <c r="B199" s="72"/>
      <c r="C199" s="72" t="s">
        <v>422</v>
      </c>
      <c r="D199" s="54"/>
      <c r="E199" s="55"/>
      <c r="F199" s="55"/>
      <c r="G199" s="55"/>
      <c r="H199" s="49"/>
      <c r="I199" s="56"/>
      <c r="J199" s="49">
        <f>SUM(Q190:Q202)+SUM(V190:V202)+SUM(X190:X202)+SUM(Y190:Y202)</f>
        <v>0</v>
      </c>
      <c r="K199" s="56"/>
      <c r="L199" s="49">
        <f>SUM(U190:U202)+SUM(W190:W202)+SUM(Z190:Z202)+SUM(AA190:AA202)</f>
        <v>0</v>
      </c>
    </row>
    <row r="200" spans="1:12" ht="28.5">
      <c r="A200" s="72"/>
      <c r="B200" s="72"/>
      <c r="C200" s="72" t="s">
        <v>462</v>
      </c>
      <c r="D200" s="54" t="s">
        <v>425</v>
      </c>
      <c r="E200" s="55">
        <f>Source!BZ127</f>
        <v>0</v>
      </c>
      <c r="F200" s="55"/>
      <c r="G200" s="55">
        <f>Source!AT127</f>
        <v>0</v>
      </c>
      <c r="H200" s="49"/>
      <c r="I200" s="56"/>
      <c r="J200" s="49">
        <f>SUM(AG190:AG202)</f>
        <v>0</v>
      </c>
      <c r="K200" s="56"/>
      <c r="L200" s="49">
        <f>SUM(AH190:AH202)</f>
        <v>0</v>
      </c>
    </row>
    <row r="201" spans="1:12" ht="28.5">
      <c r="A201" s="74"/>
      <c r="B201" s="74"/>
      <c r="C201" s="74" t="s">
        <v>463</v>
      </c>
      <c r="D201" s="58" t="s">
        <v>425</v>
      </c>
      <c r="E201" s="59">
        <f>Source!CA127</f>
        <v>0</v>
      </c>
      <c r="F201" s="59"/>
      <c r="G201" s="59">
        <f>Source!AU127</f>
        <v>0</v>
      </c>
      <c r="H201" s="60"/>
      <c r="I201" s="61"/>
      <c r="J201" s="60">
        <f>SUM(AI190:AI202)</f>
        <v>0</v>
      </c>
      <c r="K201" s="61"/>
      <c r="L201" s="60">
        <f>SUM(AJ190:AJ202)</f>
        <v>0</v>
      </c>
    </row>
    <row r="202" spans="3:61" ht="15">
      <c r="C202" s="133" t="s">
        <v>428</v>
      </c>
      <c r="D202" s="133"/>
      <c r="E202" s="133"/>
      <c r="F202" s="133"/>
      <c r="G202" s="133"/>
      <c r="H202" s="133"/>
      <c r="I202" s="133">
        <f>J190</f>
        <v>312.27</v>
      </c>
      <c r="J202" s="133"/>
      <c r="K202" s="133">
        <f>L190</f>
        <v>4087.65</v>
      </c>
      <c r="L202" s="133"/>
      <c r="O202" s="48">
        <f>I202</f>
        <v>312.27</v>
      </c>
      <c r="P202" s="48">
        <f>K202</f>
        <v>4087.65</v>
      </c>
      <c r="R202" s="48">
        <f>J192</f>
        <v>0</v>
      </c>
      <c r="V202" s="48">
        <f>J192</f>
        <v>0</v>
      </c>
      <c r="W202" s="48">
        <f>L192</f>
        <v>0</v>
      </c>
      <c r="Y202" s="48">
        <f>J194</f>
        <v>0</v>
      </c>
      <c r="AA202" s="48">
        <f>L194</f>
        <v>0</v>
      </c>
      <c r="AC202" s="48">
        <f>J193</f>
        <v>0</v>
      </c>
      <c r="AE202" s="48">
        <f>L193</f>
        <v>0</v>
      </c>
      <c r="AF202" s="48">
        <f>J195</f>
        <v>0</v>
      </c>
      <c r="AO202">
        <f>IF(Source!BI127&lt;=1,J195,0)</f>
        <v>0</v>
      </c>
      <c r="AR202">
        <f>IF(Source!BI127&lt;=1,J190,0)</f>
        <v>312.27</v>
      </c>
      <c r="AY202">
        <f>IF(Source!BI127=2,J195,0)</f>
        <v>0</v>
      </c>
      <c r="BB202">
        <f>IF(Source!BI127=2,J190,0)</f>
        <v>0</v>
      </c>
      <c r="BI202">
        <f>IF(Source!BI127=3,J190,0)</f>
        <v>0</v>
      </c>
    </row>
    <row r="204" spans="1:95" ht="15">
      <c r="A204" s="64"/>
      <c r="B204" s="65"/>
      <c r="C204" s="134" t="s">
        <v>433</v>
      </c>
      <c r="D204" s="134"/>
      <c r="E204" s="134"/>
      <c r="F204" s="134"/>
      <c r="G204" s="134"/>
      <c r="H204" s="134"/>
      <c r="I204" s="66"/>
      <c r="J204" s="67">
        <f>J206+J207+J208+J209</f>
        <v>815.14</v>
      </c>
      <c r="K204" s="67"/>
      <c r="L204" s="67">
        <f>L206+L207+L208+L209</f>
        <v>10670.17</v>
      </c>
      <c r="CQ204" s="76" t="s">
        <v>433</v>
      </c>
    </row>
    <row r="205" spans="1:12" ht="14.25">
      <c r="A205" s="68"/>
      <c r="B205" s="69"/>
      <c r="C205" s="130" t="s">
        <v>434</v>
      </c>
      <c r="D205" s="127"/>
      <c r="E205" s="127"/>
      <c r="F205" s="127"/>
      <c r="G205" s="127"/>
      <c r="H205" s="127"/>
      <c r="I205" s="70"/>
      <c r="J205" s="71"/>
      <c r="K205" s="71"/>
      <c r="L205" s="71"/>
    </row>
    <row r="206" spans="1:12" ht="14.25">
      <c r="A206" s="68"/>
      <c r="B206" s="69"/>
      <c r="C206" s="127" t="s">
        <v>435</v>
      </c>
      <c r="D206" s="127"/>
      <c r="E206" s="127"/>
      <c r="F206" s="127"/>
      <c r="G206" s="127"/>
      <c r="H206" s="127"/>
      <c r="I206" s="70"/>
      <c r="J206" s="71">
        <f>SUM(Q176:Q202)</f>
        <v>0</v>
      </c>
      <c r="K206" s="71"/>
      <c r="L206" s="71">
        <f>SUM(U176:U202)</f>
        <v>0</v>
      </c>
    </row>
    <row r="207" spans="1:12" ht="14.25">
      <c r="A207" s="68"/>
      <c r="B207" s="69"/>
      <c r="C207" s="127" t="s">
        <v>436</v>
      </c>
      <c r="D207" s="127"/>
      <c r="E207" s="127"/>
      <c r="F207" s="127"/>
      <c r="G207" s="127"/>
      <c r="H207" s="127"/>
      <c r="I207" s="70"/>
      <c r="J207" s="71">
        <f>SUM(AB176:AB202)</f>
        <v>0</v>
      </c>
      <c r="K207" s="71"/>
      <c r="L207" s="71">
        <f>SUM(AD176:AD202)</f>
        <v>0</v>
      </c>
    </row>
    <row r="208" spans="1:12" ht="14.25">
      <c r="A208" s="68"/>
      <c r="B208" s="69"/>
      <c r="C208" s="127" t="s">
        <v>437</v>
      </c>
      <c r="D208" s="127"/>
      <c r="E208" s="127"/>
      <c r="F208" s="127"/>
      <c r="G208" s="127"/>
      <c r="H208" s="127"/>
      <c r="I208" s="70"/>
      <c r="J208" s="71">
        <f>SUM(AF176:AF202)-J213</f>
        <v>0</v>
      </c>
      <c r="K208" s="71"/>
      <c r="L208" s="71">
        <f>Source!P132-L213</f>
        <v>0</v>
      </c>
    </row>
    <row r="209" spans="1:12" ht="14.25">
      <c r="A209" s="68"/>
      <c r="B209" s="69"/>
      <c r="C209" s="127" t="s">
        <v>438</v>
      </c>
      <c r="D209" s="127"/>
      <c r="E209" s="127"/>
      <c r="F209" s="127"/>
      <c r="G209" s="127"/>
      <c r="H209" s="127"/>
      <c r="I209" s="70"/>
      <c r="J209" s="71">
        <f>SUM(AR176:AR202)+SUM(BB176:BB202)+SUM(BI176:BI202)+SUM(BP176:BP202)</f>
        <v>815.14</v>
      </c>
      <c r="K209" s="71"/>
      <c r="L209" s="71">
        <f>Source!P154</f>
        <v>10670.17</v>
      </c>
    </row>
    <row r="210" spans="1:12" ht="14.25">
      <c r="A210" s="68"/>
      <c r="B210" s="69"/>
      <c r="C210" s="127" t="s">
        <v>439</v>
      </c>
      <c r="D210" s="127"/>
      <c r="E210" s="127"/>
      <c r="F210" s="127"/>
      <c r="G210" s="127"/>
      <c r="H210" s="127"/>
      <c r="I210" s="70"/>
      <c r="J210" s="71">
        <f>SUM(Q176:Q202)+SUM(X176:X202)</f>
        <v>0</v>
      </c>
      <c r="K210" s="71"/>
      <c r="L210" s="71">
        <f>SUM(U176:U202)+SUM(Z176:Z202)</f>
        <v>0</v>
      </c>
    </row>
    <row r="211" spans="1:12" ht="14.25">
      <c r="A211" s="68"/>
      <c r="B211" s="69"/>
      <c r="C211" s="127" t="s">
        <v>440</v>
      </c>
      <c r="D211" s="127"/>
      <c r="E211" s="127"/>
      <c r="F211" s="127"/>
      <c r="G211" s="127"/>
      <c r="H211" s="127"/>
      <c r="I211" s="70"/>
      <c r="J211" s="71">
        <f>SUM(AG176:AG202)</f>
        <v>0</v>
      </c>
      <c r="K211" s="71"/>
      <c r="L211" s="71">
        <f>Source!P155</f>
        <v>0</v>
      </c>
    </row>
    <row r="212" spans="1:12" ht="14.25">
      <c r="A212" s="68"/>
      <c r="B212" s="69"/>
      <c r="C212" s="127" t="s">
        <v>441</v>
      </c>
      <c r="D212" s="127"/>
      <c r="E212" s="127"/>
      <c r="F212" s="127"/>
      <c r="G212" s="127"/>
      <c r="H212" s="127"/>
      <c r="I212" s="70"/>
      <c r="J212" s="71">
        <f>SUM(AI176:AI202)</f>
        <v>0</v>
      </c>
      <c r="K212" s="71"/>
      <c r="L212" s="71">
        <f>Source!P156</f>
        <v>0</v>
      </c>
    </row>
    <row r="213" spans="1:12" ht="14.25">
      <c r="A213" s="68"/>
      <c r="B213" s="69"/>
      <c r="C213" s="127" t="s">
        <v>442</v>
      </c>
      <c r="D213" s="127"/>
      <c r="E213" s="127"/>
      <c r="F213" s="127"/>
      <c r="G213" s="127"/>
      <c r="H213" s="127"/>
      <c r="I213" s="70"/>
      <c r="J213" s="71">
        <f>SUM(BH176:BH202)</f>
        <v>0</v>
      </c>
      <c r="K213" s="71"/>
      <c r="L213" s="71">
        <f>Source!P138</f>
        <v>0</v>
      </c>
    </row>
    <row r="214" spans="1:12" ht="14.25">
      <c r="A214" s="68"/>
      <c r="B214" s="69"/>
      <c r="C214" s="127" t="s">
        <v>443</v>
      </c>
      <c r="D214" s="127"/>
      <c r="E214" s="127"/>
      <c r="F214" s="127"/>
      <c r="G214" s="127"/>
      <c r="H214" s="127"/>
      <c r="I214" s="70"/>
      <c r="J214" s="71">
        <f>SUM(BM176:BM202)+SUM(BN176:BN202)+SUM(BO176:BO202)+SUM(BP176:BP202)</f>
        <v>0</v>
      </c>
      <c r="K214" s="71"/>
      <c r="L214" s="71">
        <f>Source!P148</f>
        <v>0</v>
      </c>
    </row>
    <row r="215" spans="1:12" ht="15">
      <c r="A215" s="64"/>
      <c r="B215" s="65"/>
      <c r="C215" s="134" t="s">
        <v>444</v>
      </c>
      <c r="D215" s="134"/>
      <c r="E215" s="134"/>
      <c r="F215" s="134"/>
      <c r="G215" s="134"/>
      <c r="H215" s="134"/>
      <c r="I215" s="66"/>
      <c r="J215" s="67">
        <f>J204+J211+J212+J213</f>
        <v>815.14</v>
      </c>
      <c r="K215" s="67"/>
      <c r="L215" s="67">
        <f>Source!P157</f>
        <v>10670.17</v>
      </c>
    </row>
    <row r="216" spans="1:12" ht="14.25">
      <c r="A216" s="68"/>
      <c r="B216" s="69"/>
      <c r="C216" s="130" t="s">
        <v>445</v>
      </c>
      <c r="D216" s="127"/>
      <c r="E216" s="127"/>
      <c r="F216" s="127"/>
      <c r="G216" s="127"/>
      <c r="H216" s="127"/>
      <c r="I216" s="70"/>
      <c r="J216" s="71"/>
      <c r="K216" s="71"/>
      <c r="L216" s="71"/>
    </row>
    <row r="217" spans="1:12" ht="14.25">
      <c r="A217" s="68"/>
      <c r="B217" s="69"/>
      <c r="C217" s="127" t="s">
        <v>446</v>
      </c>
      <c r="D217" s="127"/>
      <c r="E217" s="127"/>
      <c r="F217" s="127"/>
      <c r="G217" s="127"/>
      <c r="H217" s="127"/>
      <c r="I217" s="70"/>
      <c r="J217" s="71"/>
      <c r="K217" s="71"/>
      <c r="L217" s="71">
        <f>SUM(BS176:BS202)</f>
        <v>0</v>
      </c>
    </row>
    <row r="218" spans="1:12" ht="14.25">
      <c r="A218" s="68"/>
      <c r="B218" s="69"/>
      <c r="C218" s="127" t="s">
        <v>447</v>
      </c>
      <c r="D218" s="127"/>
      <c r="E218" s="127"/>
      <c r="F218" s="127"/>
      <c r="G218" s="127"/>
      <c r="H218" s="127"/>
      <c r="I218" s="70"/>
      <c r="J218" s="71"/>
      <c r="K218" s="71"/>
      <c r="L218" s="71">
        <f>SUM(BT176:BT202)</f>
        <v>0</v>
      </c>
    </row>
    <row r="219" spans="3:12" ht="14.25">
      <c r="C219" s="126" t="str">
        <f>Source!H158</f>
        <v>итого по разделу</v>
      </c>
      <c r="D219" s="126"/>
      <c r="E219" s="126"/>
      <c r="F219" s="126"/>
      <c r="G219" s="126"/>
      <c r="H219" s="126"/>
      <c r="I219" s="126"/>
      <c r="J219" s="126"/>
      <c r="K219" s="126"/>
      <c r="L219" s="49">
        <f>IF(Source!AB158=0,"",Source!AB158)</f>
        <v>10670.17</v>
      </c>
    </row>
    <row r="221" spans="1:12" ht="15">
      <c r="A221" s="64"/>
      <c r="B221" s="65"/>
      <c r="C221" s="134" t="s">
        <v>464</v>
      </c>
      <c r="D221" s="134"/>
      <c r="E221" s="134"/>
      <c r="F221" s="134"/>
      <c r="G221" s="134"/>
      <c r="H221" s="134"/>
      <c r="I221" s="66"/>
      <c r="J221" s="67"/>
      <c r="K221" s="67"/>
      <c r="L221" s="67"/>
    </row>
    <row r="222" spans="1:12" ht="15">
      <c r="A222" s="64"/>
      <c r="B222" s="65"/>
      <c r="C222" s="134" t="s">
        <v>465</v>
      </c>
      <c r="D222" s="134"/>
      <c r="E222" s="134"/>
      <c r="F222" s="134"/>
      <c r="G222" s="134"/>
      <c r="H222" s="134"/>
      <c r="I222" s="66"/>
      <c r="J222" s="67">
        <f>J224+J225+J226+J227</f>
        <v>25821.359999999993</v>
      </c>
      <c r="K222" s="67"/>
      <c r="L222" s="67">
        <f>L224+L225+L226+L227</f>
        <v>285815.33</v>
      </c>
    </row>
    <row r="223" spans="1:12" ht="14.25">
      <c r="A223" s="68"/>
      <c r="B223" s="69"/>
      <c r="C223" s="130" t="s">
        <v>434</v>
      </c>
      <c r="D223" s="127"/>
      <c r="E223" s="127"/>
      <c r="F223" s="127"/>
      <c r="G223" s="127"/>
      <c r="H223" s="127"/>
      <c r="I223" s="70"/>
      <c r="J223" s="71"/>
      <c r="K223" s="71"/>
      <c r="L223" s="71"/>
    </row>
    <row r="224" spans="1:12" ht="14.25">
      <c r="A224" s="68"/>
      <c r="B224" s="69"/>
      <c r="C224" s="127" t="s">
        <v>435</v>
      </c>
      <c r="D224" s="127"/>
      <c r="E224" s="127"/>
      <c r="F224" s="127"/>
      <c r="G224" s="127"/>
      <c r="H224" s="127"/>
      <c r="I224" s="70"/>
      <c r="J224" s="71">
        <f>SUM(Q47:Q219)</f>
        <v>2399.21</v>
      </c>
      <c r="K224" s="71"/>
      <c r="L224" s="71">
        <f>SUM(U47:U219)</f>
        <v>88458.97</v>
      </c>
    </row>
    <row r="225" spans="1:12" ht="14.25">
      <c r="A225" s="68"/>
      <c r="B225" s="69"/>
      <c r="C225" s="127" t="s">
        <v>436</v>
      </c>
      <c r="D225" s="127"/>
      <c r="E225" s="127"/>
      <c r="F225" s="127"/>
      <c r="G225" s="127"/>
      <c r="H225" s="127"/>
      <c r="I225" s="70"/>
      <c r="J225" s="71">
        <f>SUM(AB47:AB219)</f>
        <v>5644.3</v>
      </c>
      <c r="K225" s="71"/>
      <c r="L225" s="71">
        <f>SUM(AD47:AD219)</f>
        <v>73884.15999999999</v>
      </c>
    </row>
    <row r="226" spans="1:12" ht="14.25">
      <c r="A226" s="68"/>
      <c r="B226" s="69"/>
      <c r="C226" s="127" t="s">
        <v>437</v>
      </c>
      <c r="D226" s="127"/>
      <c r="E226" s="127"/>
      <c r="F226" s="127"/>
      <c r="G226" s="127"/>
      <c r="H226" s="127"/>
      <c r="I226" s="70"/>
      <c r="J226" s="71">
        <f>SUM(AF47:AF219)-J231</f>
        <v>16962.709999999995</v>
      </c>
      <c r="K226" s="71"/>
      <c r="L226" s="71">
        <f>Source!P163-L231</f>
        <v>112802.03</v>
      </c>
    </row>
    <row r="227" spans="1:12" ht="14.25">
      <c r="A227" s="68"/>
      <c r="B227" s="69"/>
      <c r="C227" s="127" t="s">
        <v>438</v>
      </c>
      <c r="D227" s="127"/>
      <c r="E227" s="127"/>
      <c r="F227" s="127"/>
      <c r="G227" s="127"/>
      <c r="H227" s="127"/>
      <c r="I227" s="70"/>
      <c r="J227" s="71">
        <f>SUM(AR47:AR219)+SUM(BB47:BB219)+SUM(BI47:BI219)+SUM(BP47:BP219)</f>
        <v>815.14</v>
      </c>
      <c r="K227" s="71"/>
      <c r="L227" s="71">
        <f>Source!P185</f>
        <v>10670.17</v>
      </c>
    </row>
    <row r="228" spans="1:12" ht="14.25">
      <c r="A228" s="68"/>
      <c r="B228" s="69"/>
      <c r="C228" s="127" t="s">
        <v>466</v>
      </c>
      <c r="D228" s="127"/>
      <c r="E228" s="127"/>
      <c r="F228" s="127"/>
      <c r="G228" s="127"/>
      <c r="H228" s="127"/>
      <c r="I228" s="70"/>
      <c r="J228" s="71">
        <f>SUM(Q47:Q219)+SUM(X47:X219)</f>
        <v>2717.19</v>
      </c>
      <c r="K228" s="71"/>
      <c r="L228" s="71">
        <f>SUM(U47:U219)+SUM(Z47:Z219)</f>
        <v>100182.61</v>
      </c>
    </row>
    <row r="229" spans="1:12" ht="14.25">
      <c r="A229" s="68"/>
      <c r="B229" s="69"/>
      <c r="C229" s="127" t="s">
        <v>467</v>
      </c>
      <c r="D229" s="127"/>
      <c r="E229" s="127"/>
      <c r="F229" s="127"/>
      <c r="G229" s="127"/>
      <c r="H229" s="127"/>
      <c r="I229" s="70"/>
      <c r="J229" s="71">
        <f>SUM(AG47:AG219)</f>
        <v>3298.67</v>
      </c>
      <c r="K229" s="71"/>
      <c r="L229" s="71">
        <f>Source!P186</f>
        <v>121621.63</v>
      </c>
    </row>
    <row r="230" spans="1:12" ht="14.25">
      <c r="A230" s="68"/>
      <c r="B230" s="69"/>
      <c r="C230" s="127" t="s">
        <v>468</v>
      </c>
      <c r="D230" s="127"/>
      <c r="E230" s="127"/>
      <c r="F230" s="127"/>
      <c r="G230" s="127"/>
      <c r="H230" s="127"/>
      <c r="I230" s="70"/>
      <c r="J230" s="71">
        <f>SUM(AI47:AI219)</f>
        <v>2510.3100000000004</v>
      </c>
      <c r="K230" s="71"/>
      <c r="L230" s="71">
        <f>Source!P187</f>
        <v>92554.93</v>
      </c>
    </row>
    <row r="231" spans="1:12" ht="14.25">
      <c r="A231" s="68"/>
      <c r="B231" s="69"/>
      <c r="C231" s="127" t="s">
        <v>469</v>
      </c>
      <c r="D231" s="127"/>
      <c r="E231" s="127"/>
      <c r="F231" s="127"/>
      <c r="G231" s="127"/>
      <c r="H231" s="127"/>
      <c r="I231" s="70"/>
      <c r="J231" s="71">
        <f>SUM(BH47:BH219)</f>
        <v>0</v>
      </c>
      <c r="K231" s="71"/>
      <c r="L231" s="71">
        <f>Source!P169</f>
        <v>0</v>
      </c>
    </row>
    <row r="232" spans="1:12" ht="14.25">
      <c r="A232" s="68"/>
      <c r="B232" s="69"/>
      <c r="C232" s="127" t="s">
        <v>470</v>
      </c>
      <c r="D232" s="127"/>
      <c r="E232" s="127"/>
      <c r="F232" s="127"/>
      <c r="G232" s="127"/>
      <c r="H232" s="127"/>
      <c r="I232" s="70"/>
      <c r="J232" s="71">
        <f>SUM(BM47:BM219)+SUM(BN47:BN219)+SUM(BO47:BO219)+SUM(BP47:BP219)</f>
        <v>0</v>
      </c>
      <c r="K232" s="71"/>
      <c r="L232" s="71">
        <f>Source!P179</f>
        <v>0</v>
      </c>
    </row>
    <row r="233" spans="1:12" ht="15">
      <c r="A233" s="64"/>
      <c r="B233" s="65"/>
      <c r="C233" s="127" t="s">
        <v>464</v>
      </c>
      <c r="D233" s="127"/>
      <c r="E233" s="127"/>
      <c r="F233" s="127"/>
      <c r="G233" s="127"/>
      <c r="H233" s="127"/>
      <c r="I233" s="70"/>
      <c r="J233" s="71">
        <f>J222+J229+J230+J231</f>
        <v>31630.339999999993</v>
      </c>
      <c r="K233" s="71"/>
      <c r="L233" s="71">
        <f>Source!P188</f>
        <v>499991.89</v>
      </c>
    </row>
    <row r="234" spans="3:12" ht="14.25">
      <c r="C234" s="126" t="str">
        <f>Source!H191</f>
        <v>НДС 20%</v>
      </c>
      <c r="D234" s="126"/>
      <c r="E234" s="126"/>
      <c r="F234" s="126"/>
      <c r="G234" s="126"/>
      <c r="H234" s="126"/>
      <c r="I234" s="126"/>
      <c r="J234" s="126"/>
      <c r="K234" s="126"/>
      <c r="L234" s="49">
        <f>IF(Source!AB191=0,"",Source!AB191)</f>
        <v>99998.38</v>
      </c>
    </row>
    <row r="235" spans="3:12" ht="15">
      <c r="C235" s="131" t="str">
        <f>Source!H192</f>
        <v>Всего по смете</v>
      </c>
      <c r="D235" s="131"/>
      <c r="E235" s="131"/>
      <c r="F235" s="131"/>
      <c r="G235" s="131"/>
      <c r="H235" s="131"/>
      <c r="I235" s="131"/>
      <c r="J235" s="131"/>
      <c r="K235" s="131"/>
      <c r="L235" s="63">
        <f>IF(Source!AB192=0,"",Source!AB192)</f>
        <v>599990.27</v>
      </c>
    </row>
    <row r="238" spans="1:11" ht="14.25">
      <c r="A238" s="132" t="s">
        <v>471</v>
      </c>
      <c r="B238" s="132"/>
      <c r="C238" s="47" t="str">
        <f>IF(Source!AC12&lt;&gt;"",Source!AC12," ")</f>
        <v>Ведующий инженер РЕСО</v>
      </c>
      <c r="D238" s="47"/>
      <c r="E238" s="47"/>
      <c r="F238" s="47"/>
      <c r="G238" s="47"/>
      <c r="H238" s="102" t="str">
        <f>IF(Source!AB12&lt;&gt;"",Source!AB12," ")</f>
        <v>Степанова А.М.</v>
      </c>
      <c r="I238" s="102"/>
      <c r="J238" s="102"/>
      <c r="K238" s="102"/>
    </row>
    <row r="239" spans="1:11" ht="14.25">
      <c r="A239" s="14"/>
      <c r="B239" s="14"/>
      <c r="C239" s="128" t="s">
        <v>472</v>
      </c>
      <c r="D239" s="128"/>
      <c r="E239" s="128"/>
      <c r="F239" s="128"/>
      <c r="G239" s="128"/>
      <c r="H239" s="14"/>
      <c r="I239" s="14"/>
      <c r="J239" s="14"/>
      <c r="K239" s="14"/>
    </row>
    <row r="240" spans="1:11" ht="14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4.25">
      <c r="A241" s="132" t="s">
        <v>473</v>
      </c>
      <c r="B241" s="132"/>
      <c r="C241" s="47" t="str">
        <f>IF(Source!AE12&lt;&gt;"",Source!AE12," ")</f>
        <v>Заведующий РЕСО</v>
      </c>
      <c r="D241" s="47"/>
      <c r="E241" s="47"/>
      <c r="F241" s="47"/>
      <c r="G241" s="47"/>
      <c r="H241" s="102" t="str">
        <f>IF(Source!AD12&lt;&gt;"",Source!AD12," ")</f>
        <v>Покшин В.И.</v>
      </c>
      <c r="I241" s="102"/>
      <c r="J241" s="102"/>
      <c r="K241" s="102"/>
    </row>
    <row r="242" spans="1:11" ht="14.25">
      <c r="A242" s="14"/>
      <c r="B242" s="14"/>
      <c r="C242" s="128" t="s">
        <v>472</v>
      </c>
      <c r="D242" s="128"/>
      <c r="E242" s="128"/>
      <c r="F242" s="128"/>
      <c r="G242" s="128"/>
      <c r="H242" s="14"/>
      <c r="I242" s="14"/>
      <c r="J242" s="14"/>
      <c r="K242" s="14"/>
    </row>
  </sheetData>
  <sheetProtection/>
  <mergeCells count="128">
    <mergeCell ref="C233:H233"/>
    <mergeCell ref="C232:H232"/>
    <mergeCell ref="C231:H231"/>
    <mergeCell ref="C230:H230"/>
    <mergeCell ref="C213:H213"/>
    <mergeCell ref="C212:H212"/>
    <mergeCell ref="C211:H211"/>
    <mergeCell ref="C210:H210"/>
    <mergeCell ref="C209:H209"/>
    <mergeCell ref="C223:H223"/>
    <mergeCell ref="C229:H229"/>
    <mergeCell ref="C228:H228"/>
    <mergeCell ref="C227:H227"/>
    <mergeCell ref="C226:H226"/>
    <mergeCell ref="C225:H225"/>
    <mergeCell ref="C224:H224"/>
    <mergeCell ref="K127:L127"/>
    <mergeCell ref="I127:J127"/>
    <mergeCell ref="C127:H127"/>
    <mergeCell ref="C166:H166"/>
    <mergeCell ref="C165:H165"/>
    <mergeCell ref="C164:H164"/>
    <mergeCell ref="C222:H222"/>
    <mergeCell ref="C221:H221"/>
    <mergeCell ref="C218:H218"/>
    <mergeCell ref="C217:H217"/>
    <mergeCell ref="C216:H216"/>
    <mergeCell ref="C215:H215"/>
    <mergeCell ref="C214:H214"/>
    <mergeCell ref="C172:H172"/>
    <mergeCell ref="C171:H171"/>
    <mergeCell ref="C170:H170"/>
    <mergeCell ref="C169:H169"/>
    <mergeCell ref="C168:H168"/>
    <mergeCell ref="C167:H167"/>
    <mergeCell ref="C205:H205"/>
    <mergeCell ref="C208:H208"/>
    <mergeCell ref="C207:H207"/>
    <mergeCell ref="C206:H206"/>
    <mergeCell ref="C202:H202"/>
    <mergeCell ref="K189:L189"/>
    <mergeCell ref="I189:J189"/>
    <mergeCell ref="C189:H189"/>
    <mergeCell ref="A176:L176"/>
    <mergeCell ref="C173:H173"/>
    <mergeCell ref="I157:J157"/>
    <mergeCell ref="C157:H157"/>
    <mergeCell ref="K142:L142"/>
    <mergeCell ref="I142:J142"/>
    <mergeCell ref="C142:H142"/>
    <mergeCell ref="C242:G242"/>
    <mergeCell ref="C105:H105"/>
    <mergeCell ref="C104:H104"/>
    <mergeCell ref="C103:H103"/>
    <mergeCell ref="C102:H102"/>
    <mergeCell ref="C101:H101"/>
    <mergeCell ref="A112:L112"/>
    <mergeCell ref="C109:H109"/>
    <mergeCell ref="C108:H108"/>
    <mergeCell ref="C107:H107"/>
    <mergeCell ref="C235:K235"/>
    <mergeCell ref="A238:B238"/>
    <mergeCell ref="H238:K238"/>
    <mergeCell ref="C239:G239"/>
    <mergeCell ref="A241:B241"/>
    <mergeCell ref="H241:K241"/>
    <mergeCell ref="C163:H163"/>
    <mergeCell ref="C162:H162"/>
    <mergeCell ref="C161:H161"/>
    <mergeCell ref="C160:H160"/>
    <mergeCell ref="C159:H159"/>
    <mergeCell ref="K157:L157"/>
    <mergeCell ref="C106:H106"/>
    <mergeCell ref="C204:H204"/>
    <mergeCell ref="K42:K45"/>
    <mergeCell ref="L42:L45"/>
    <mergeCell ref="C110:K110"/>
    <mergeCell ref="C174:K174"/>
    <mergeCell ref="C219:K219"/>
    <mergeCell ref="C234:K234"/>
    <mergeCell ref="C100:H100"/>
    <mergeCell ref="C99:H99"/>
    <mergeCell ref="C98:H98"/>
    <mergeCell ref="C97:H97"/>
    <mergeCell ref="K65:L65"/>
    <mergeCell ref="I65:J65"/>
    <mergeCell ref="C65:H65"/>
    <mergeCell ref="A48:L48"/>
    <mergeCell ref="C96:H96"/>
    <mergeCell ref="C95:H95"/>
    <mergeCell ref="K93:L93"/>
    <mergeCell ref="I93:J93"/>
    <mergeCell ref="C93:H93"/>
    <mergeCell ref="K79:L79"/>
    <mergeCell ref="I79:J79"/>
    <mergeCell ref="C79:H79"/>
    <mergeCell ref="K202:L202"/>
    <mergeCell ref="I202:J202"/>
    <mergeCell ref="A42:A45"/>
    <mergeCell ref="B42:B45"/>
    <mergeCell ref="C42:C45"/>
    <mergeCell ref="D42:D45"/>
    <mergeCell ref="E42:G44"/>
    <mergeCell ref="H42:J44"/>
    <mergeCell ref="C30:G30"/>
    <mergeCell ref="D34:E34"/>
    <mergeCell ref="D37:E37"/>
    <mergeCell ref="D38:E38"/>
    <mergeCell ref="D39:E39"/>
    <mergeCell ref="D40:E40"/>
    <mergeCell ref="B23:K23"/>
    <mergeCell ref="B24:K24"/>
    <mergeCell ref="C29:G29"/>
    <mergeCell ref="B7:E7"/>
    <mergeCell ref="H7:L7"/>
    <mergeCell ref="A10:L10"/>
    <mergeCell ref="A12:K12"/>
    <mergeCell ref="B15:K15"/>
    <mergeCell ref="B16:K16"/>
    <mergeCell ref="B3:E3"/>
    <mergeCell ref="H3:L3"/>
    <mergeCell ref="B4:E4"/>
    <mergeCell ref="H4:L4"/>
    <mergeCell ref="B6:E6"/>
    <mergeCell ref="H6:L6"/>
    <mergeCell ref="B18:K18"/>
    <mergeCell ref="B19:K19"/>
    <mergeCell ref="B21:K21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2" t="s">
        <v>369</v>
      </c>
    </row>
    <row r="4" spans="4:5" ht="15">
      <c r="D4" s="62"/>
      <c r="E4" s="62"/>
    </row>
    <row r="5" spans="4:5" ht="15">
      <c r="D5" s="136" t="s">
        <v>474</v>
      </c>
      <c r="E5" s="136"/>
    </row>
    <row r="6" spans="4:5" ht="15">
      <c r="D6" s="77"/>
      <c r="E6" s="77"/>
    </row>
    <row r="7" spans="4:5" ht="15">
      <c r="D7" s="136" t="s">
        <v>474</v>
      </c>
      <c r="E7" s="136"/>
    </row>
    <row r="8" spans="4:5" ht="15">
      <c r="D8" s="77"/>
      <c r="E8" s="77"/>
    </row>
    <row r="9" spans="4:5" ht="15">
      <c r="D9" s="62" t="s">
        <v>475</v>
      </c>
      <c r="E9" s="14"/>
    </row>
    <row r="10" spans="4:5" ht="14.25">
      <c r="D10" s="14"/>
      <c r="E10" s="14"/>
    </row>
    <row r="12" spans="2:5" ht="15.75">
      <c r="B12" s="137" t="str">
        <f>CONCATENATE("Ведомость объемов работ ",IF(Source!AN15&lt;&gt;"",Source!AN15," "))</f>
        <v>Ведомость объемов работ  </v>
      </c>
      <c r="C12" s="137"/>
      <c r="D12" s="137"/>
      <c r="E12" s="137"/>
    </row>
    <row r="13" spans="2:5" ht="15">
      <c r="B13" s="138" t="str">
        <f>CONCATENATE(Source!F12," ",Source!G12)</f>
        <v> Выполнение работ по текущему ремонту элементов благоустройства ИПУ РАН</v>
      </c>
      <c r="C13" s="138"/>
      <c r="D13" s="138"/>
      <c r="E13" s="138"/>
    </row>
    <row r="14" ht="12.75" hidden="1"/>
    <row r="16" spans="1:8" ht="99.75">
      <c r="A16" s="79" t="s">
        <v>393</v>
      </c>
      <c r="B16" s="79" t="s">
        <v>476</v>
      </c>
      <c r="C16" s="79" t="s">
        <v>395</v>
      </c>
      <c r="D16" s="79" t="s">
        <v>396</v>
      </c>
      <c r="E16" s="79" t="s">
        <v>397</v>
      </c>
      <c r="F16" s="79" t="s">
        <v>477</v>
      </c>
      <c r="G16" s="79" t="s">
        <v>478</v>
      </c>
      <c r="H16" s="79" t="s">
        <v>479</v>
      </c>
    </row>
    <row r="17" spans="1:8" ht="14.25">
      <c r="A17" s="79">
        <v>1</v>
      </c>
      <c r="B17" s="79">
        <v>2</v>
      </c>
      <c r="C17" s="79">
        <v>3</v>
      </c>
      <c r="D17" s="79">
        <v>4</v>
      </c>
      <c r="E17" s="79">
        <v>5</v>
      </c>
      <c r="F17" s="79">
        <v>6</v>
      </c>
      <c r="G17" s="79">
        <v>7</v>
      </c>
      <c r="H17" s="79">
        <v>8</v>
      </c>
    </row>
    <row r="18" spans="1:8" ht="16.5">
      <c r="A18" s="135" t="str">
        <f>CONCATENATE("Локальная смета: ",Source!G20)</f>
        <v>Локальная смета: </v>
      </c>
      <c r="B18" s="135"/>
      <c r="C18" s="135"/>
      <c r="D18" s="135"/>
      <c r="E18" s="135"/>
      <c r="F18" s="135"/>
      <c r="G18" s="135"/>
      <c r="H18" s="135"/>
    </row>
    <row r="19" spans="1:8" ht="16.5">
      <c r="A19" s="135" t="str">
        <f>CONCATENATE("Раздел: ",Source!G24)</f>
        <v>Раздел: Демонтажные работы</v>
      </c>
      <c r="B19" s="135"/>
      <c r="C19" s="135"/>
      <c r="D19" s="135"/>
      <c r="E19" s="135"/>
      <c r="F19" s="135"/>
      <c r="G19" s="135"/>
      <c r="H19" s="135"/>
    </row>
    <row r="20" spans="1:8" ht="14.25">
      <c r="A20" s="79">
        <v>1</v>
      </c>
      <c r="B20" s="79" t="str">
        <f>Source!E28</f>
        <v>1</v>
      </c>
      <c r="C20" s="82" t="str">
        <f>Source!G28</f>
        <v>Устройство шва-стыка в асфальтобетонном покрытии</v>
      </c>
      <c r="D20" s="79" t="s">
        <v>25</v>
      </c>
      <c r="E20" s="83">
        <f>Source!I28</f>
        <v>2.6</v>
      </c>
      <c r="F20" s="79">
        <f>Source!U24</f>
      </c>
      <c r="G20" s="79" t="str">
        <f>"=260/"&amp;"100"</f>
        <v>=260/100</v>
      </c>
      <c r="H20" s="82"/>
    </row>
    <row r="21" spans="1:8" ht="14.25">
      <c r="A21" s="79">
        <v>1.1</v>
      </c>
      <c r="B21" s="79" t="str">
        <f>Source!E30</f>
        <v>1,1</v>
      </c>
      <c r="C21" s="82" t="str">
        <f>Source!G30</f>
        <v>Погрузчики, грузоподъемность 5 т</v>
      </c>
      <c r="D21" s="79" t="s">
        <v>41</v>
      </c>
      <c r="E21" s="83">
        <f>Source!I30</f>
        <v>-0.42249999999999993</v>
      </c>
      <c r="F21" s="79">
        <f>Source!U24</f>
      </c>
      <c r="G21" s="79"/>
      <c r="H21" s="82"/>
    </row>
    <row r="22" spans="1:8" ht="14.25">
      <c r="A22" s="79">
        <v>1.2</v>
      </c>
      <c r="B22" s="79" t="str">
        <f>Source!E32</f>
        <v>1,2</v>
      </c>
      <c r="C22" s="82" t="str">
        <f>Source!G32</f>
        <v>Котлы битумные передвижные 400 л</v>
      </c>
      <c r="D22" s="79" t="s">
        <v>41</v>
      </c>
      <c r="E22" s="83">
        <f>Source!I32</f>
        <v>-1.9500000000000002</v>
      </c>
      <c r="F22" s="79">
        <f>Source!U24</f>
      </c>
      <c r="G22" s="79"/>
      <c r="H22" s="82"/>
    </row>
    <row r="23" spans="1:8" ht="28.5">
      <c r="A23" s="79">
        <v>1.3</v>
      </c>
      <c r="B23" s="79" t="str">
        <f>Source!E34</f>
        <v>1,3</v>
      </c>
      <c r="C23" s="82" t="str">
        <f>Source!G34</f>
        <v>Компрессоры передвижные с двигателем внутреннего сгорания, давление до 686 кПа (7 ат), производительность до 5 м3/мин</v>
      </c>
      <c r="D23" s="79" t="s">
        <v>41</v>
      </c>
      <c r="E23" s="83">
        <f>Source!I34</f>
        <v>-0.6175</v>
      </c>
      <c r="F23" s="79">
        <f>Source!U24</f>
      </c>
      <c r="G23" s="79"/>
      <c r="H23" s="82"/>
    </row>
    <row r="24" spans="1:8" ht="14.25">
      <c r="A24" s="79">
        <v>2</v>
      </c>
      <c r="B24" s="79" t="str">
        <f>Source!E36</f>
        <v>2</v>
      </c>
      <c r="C24" s="82" t="str">
        <f>Source!G36</f>
        <v>Разборка бортовых камней: на бетонном основании</v>
      </c>
      <c r="D24" s="79" t="s">
        <v>25</v>
      </c>
      <c r="E24" s="83">
        <f>Source!I36</f>
        <v>1.37</v>
      </c>
      <c r="F24" s="79">
        <f>Source!U24</f>
      </c>
      <c r="G24" s="79" t="str">
        <f>"=137/"&amp;"100"</f>
        <v>=137/100</v>
      </c>
      <c r="H24" s="82"/>
    </row>
    <row r="25" spans="1:8" ht="28.5">
      <c r="A25" s="79">
        <v>3</v>
      </c>
      <c r="B25" s="79" t="str">
        <f>Source!E38</f>
        <v>3</v>
      </c>
      <c r="C25" s="82" t="str">
        <f>Source!G38</f>
        <v>Разборка асфальтобетонных покрытий тротуаров толщиной до 4 см: вручную</v>
      </c>
      <c r="D25" s="79" t="s">
        <v>63</v>
      </c>
      <c r="E25" s="83">
        <f>Source!I38</f>
        <v>0.075</v>
      </c>
      <c r="F25" s="79">
        <f>Source!U24</f>
      </c>
      <c r="G25" s="79" t="str">
        <f>"=75/"&amp;"1000"</f>
        <v>=75/1000</v>
      </c>
      <c r="H25" s="82"/>
    </row>
    <row r="26" spans="1:8" ht="16.5">
      <c r="A26" s="135" t="str">
        <f>CONCATENATE("Раздел: ",Source!G72)</f>
        <v>Раздел: Монтажные работы</v>
      </c>
      <c r="B26" s="135"/>
      <c r="C26" s="135"/>
      <c r="D26" s="135"/>
      <c r="E26" s="135"/>
      <c r="F26" s="135"/>
      <c r="G26" s="135"/>
      <c r="H26" s="135"/>
    </row>
    <row r="27" spans="1:8" ht="14.25">
      <c r="A27" s="79">
        <v>4</v>
      </c>
      <c r="B27" s="79" t="str">
        <f>Source!E76</f>
        <v>4</v>
      </c>
      <c r="C27" s="82" t="str">
        <f>Source!G76</f>
        <v>Установка бортовых камней бетонных: при цементобетонных покрытиях</v>
      </c>
      <c r="D27" s="79" t="s">
        <v>25</v>
      </c>
      <c r="E27" s="83">
        <f>Source!I76</f>
        <v>1.49</v>
      </c>
      <c r="F27" s="79">
        <f>Source!U72</f>
      </c>
      <c r="G27" s="79" t="str">
        <f>"=149/"&amp;"100"</f>
        <v>=149/100</v>
      </c>
      <c r="H27" s="82"/>
    </row>
    <row r="28" spans="1:8" ht="14.25">
      <c r="A28" s="79">
        <v>4.1</v>
      </c>
      <c r="B28" s="79" t="str">
        <f>Source!E78</f>
        <v>4,1</v>
      </c>
      <c r="C28" s="82" t="str">
        <f>Source!G78</f>
        <v>Камни бортовые БР 100.30.15, бетон В30 (М400), объем 0,043 м3</v>
      </c>
      <c r="D28" s="79" t="s">
        <v>129</v>
      </c>
      <c r="E28" s="83">
        <f>Source!I78</f>
        <v>149</v>
      </c>
      <c r="F28" s="79">
        <f>Source!U72</f>
      </c>
      <c r="G28" s="79"/>
      <c r="H28" s="82"/>
    </row>
    <row r="29" spans="1:8" ht="28.5">
      <c r="A29" s="79">
        <v>5</v>
      </c>
      <c r="B29" s="79" t="str">
        <f>Source!E80</f>
        <v>5</v>
      </c>
      <c r="C29" s="82" t="str">
        <f>Source!G80</f>
        <v>Устройство покрытия из горячих асфальтобетонных смесей асфальтоукладчиками второго типоразмера, толщина слоя 4 см</v>
      </c>
      <c r="D29" s="79" t="s">
        <v>63</v>
      </c>
      <c r="E29" s="83">
        <f>Source!I80</f>
        <v>0.045</v>
      </c>
      <c r="F29" s="79">
        <f>Source!U72</f>
      </c>
      <c r="G29" s="79" t="str">
        <f>"=45/"&amp;"1000"</f>
        <v>=45/1000</v>
      </c>
      <c r="H29" s="82"/>
    </row>
    <row r="30" spans="1:8" ht="42.75">
      <c r="A30" s="79">
        <v>5.1</v>
      </c>
      <c r="B30" s="79" t="str">
        <f>Source!E82</f>
        <v>5,1</v>
      </c>
      <c r="C30" s="82" t="str">
        <f>Source!G82</f>
        <v>Смеси асфальтобетонные дорожные, аэродромные и асфальтобетон (горячие для плотного асфальтобетона мелко и крупнозернистые, песчаные), марка: I, тип В</v>
      </c>
      <c r="D30" s="79" t="s">
        <v>138</v>
      </c>
      <c r="E30" s="83">
        <f>Source!I82</f>
        <v>4.5</v>
      </c>
      <c r="F30" s="79">
        <f>Source!U72</f>
      </c>
      <c r="G30" s="79"/>
      <c r="H30" s="82"/>
    </row>
    <row r="31" spans="1:8" ht="28.5">
      <c r="A31" s="79">
        <v>6</v>
      </c>
      <c r="B31" s="79" t="str">
        <f>Source!E84</f>
        <v>6</v>
      </c>
      <c r="C31" s="82" t="str">
        <f>Source!G84</f>
        <v>При изменении толщины покрытия на 0,5 см добавлять или исключать к расценке 27-06-029-01 (К=2)</v>
      </c>
      <c r="D31" s="79" t="s">
        <v>63</v>
      </c>
      <c r="E31" s="83">
        <f>Source!I84</f>
        <v>0.045</v>
      </c>
      <c r="F31" s="79">
        <f>Source!U72</f>
      </c>
      <c r="G31" s="79" t="str">
        <f>"=45/"&amp;"1000"</f>
        <v>=45/1000</v>
      </c>
      <c r="H31" s="82"/>
    </row>
    <row r="32" spans="1:8" ht="42.75">
      <c r="A32" s="79">
        <v>6.1</v>
      </c>
      <c r="B32" s="79" t="str">
        <f>Source!E86</f>
        <v>6,1</v>
      </c>
      <c r="C32" s="82" t="str">
        <f>Source!G86</f>
        <v>Смеси асфальтобетонные дорожные, аэродромные и асфальтобетон (горячие для плотного асфальтобетона мелко и крупнозернистые, песчаные), марка: I, тип В</v>
      </c>
      <c r="D32" s="79" t="s">
        <v>138</v>
      </c>
      <c r="E32" s="83">
        <f>Source!I86</f>
        <v>1.122</v>
      </c>
      <c r="F32" s="79">
        <f>Source!U72</f>
      </c>
      <c r="G32" s="79"/>
      <c r="H32" s="82"/>
    </row>
    <row r="33" spans="1:8" ht="16.5">
      <c r="A33" s="135" t="str">
        <f>CONCATENATE("Раздел: ",Source!G120)</f>
        <v>Раздел: Разные работы</v>
      </c>
      <c r="B33" s="135"/>
      <c r="C33" s="135"/>
      <c r="D33" s="135"/>
      <c r="E33" s="135"/>
      <c r="F33" s="135"/>
      <c r="G33" s="135"/>
      <c r="H33" s="135"/>
    </row>
    <row r="34" spans="1:8" ht="28.5">
      <c r="A34" s="79">
        <v>7</v>
      </c>
      <c r="B34" s="79" t="str">
        <f>Source!E124</f>
        <v>7</v>
      </c>
      <c r="C34" s="82" t="str">
        <f>Source!G124</f>
        <v>Погрузочные работы при автомобильных перевозках мусора строительного с погрузкой вручную</v>
      </c>
      <c r="D34" s="79" t="s">
        <v>154</v>
      </c>
      <c r="E34" s="83">
        <f>Source!I124</f>
        <v>11.7</v>
      </c>
      <c r="F34" s="79">
        <f>Source!U120</f>
      </c>
      <c r="G34" s="79">
        <f>Source!I124</f>
        <v>11.7</v>
      </c>
      <c r="H34" s="82"/>
    </row>
    <row r="35" spans="1:8" ht="28.5">
      <c r="A35" s="78">
        <v>8</v>
      </c>
      <c r="B35" s="78" t="str">
        <f>Source!E126</f>
        <v>8</v>
      </c>
      <c r="C35" s="80" t="str">
        <f>Source!G126</f>
        <v>Перевозка грузов I класса автомобилями бортовыми грузоподъемностью до 15 т на расстояние: до 61 км</v>
      </c>
      <c r="D35" s="78" t="s">
        <v>154</v>
      </c>
      <c r="E35" s="81">
        <f>Source!I126</f>
        <v>11.7</v>
      </c>
      <c r="F35" s="78">
        <f>Source!U120</f>
      </c>
      <c r="G35" s="78">
        <f>Source!I126</f>
        <v>11.7</v>
      </c>
      <c r="H35" s="80"/>
    </row>
    <row r="38" spans="2:5" ht="15">
      <c r="B38" s="84" t="s">
        <v>480</v>
      </c>
      <c r="C38" s="14"/>
      <c r="D38" s="85" t="s">
        <v>481</v>
      </c>
      <c r="E38" s="86"/>
    </row>
  </sheetData>
  <sheetProtection/>
  <mergeCells count="8">
    <mergeCell ref="A26:H26"/>
    <mergeCell ref="A33:H33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2" t="s">
        <v>369</v>
      </c>
    </row>
    <row r="4" spans="3:4" ht="15">
      <c r="C4" s="62"/>
      <c r="D4" s="62"/>
    </row>
    <row r="5" spans="3:4" ht="15">
      <c r="C5" s="136" t="s">
        <v>474</v>
      </c>
      <c r="D5" s="136"/>
    </row>
    <row r="6" spans="3:4" ht="15">
      <c r="C6" s="77"/>
      <c r="D6" s="77"/>
    </row>
    <row r="7" spans="3:4" ht="15">
      <c r="C7" s="136" t="s">
        <v>474</v>
      </c>
      <c r="D7" s="136"/>
    </row>
    <row r="8" spans="3:4" ht="15">
      <c r="C8" s="77"/>
      <c r="D8" s="77"/>
    </row>
    <row r="9" spans="3:4" ht="15">
      <c r="C9" s="62" t="s">
        <v>475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39" t="str">
        <f>CONCATENATE("Дефектный акт ",IF(Source!AN15&lt;&gt;"",Source!AN15," "))</f>
        <v>Дефектный акт  </v>
      </c>
      <c r="B11" s="139"/>
      <c r="C11" s="139"/>
      <c r="D11" s="139"/>
      <c r="E11" s="14"/>
    </row>
    <row r="12" spans="1:30" ht="15">
      <c r="A12" s="140" t="str">
        <f>CONCATENATE("На капитальный ремонт ",Source!F12," ",Source!G12)</f>
        <v>На капитальный ремонт  Выполнение работ по текущему ремонту элементов благоустройства ИПУ РАН</v>
      </c>
      <c r="B12" s="140"/>
      <c r="C12" s="140"/>
      <c r="D12" s="140"/>
      <c r="E12" s="14"/>
      <c r="AD12" s="88" t="str">
        <f>CONCATENATE("На капитальный ремонт ",Source!F12," ",Source!G12)</f>
        <v>На капитальный ремонт  Выполнение работ по текущему ремонту элементов благоустройства ИПУ РАН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87" t="s">
        <v>482</v>
      </c>
      <c r="C14" s="14"/>
      <c r="D14" s="14"/>
      <c r="E14" s="14"/>
    </row>
    <row r="15" spans="1:5" ht="15">
      <c r="A15" s="14"/>
      <c r="B15" s="87" t="s">
        <v>483</v>
      </c>
      <c r="C15" s="14"/>
      <c r="D15" s="14"/>
      <c r="E15" s="14"/>
    </row>
    <row r="16" spans="1:5" ht="15">
      <c r="A16" s="14"/>
      <c r="B16" s="87" t="s">
        <v>484</v>
      </c>
      <c r="C16" s="14"/>
      <c r="D16" s="14"/>
      <c r="E16" s="14"/>
    </row>
    <row r="17" spans="1:5" ht="28.5">
      <c r="A17" s="78" t="s">
        <v>393</v>
      </c>
      <c r="B17" s="78" t="s">
        <v>395</v>
      </c>
      <c r="C17" s="78" t="s">
        <v>396</v>
      </c>
      <c r="D17" s="78" t="s">
        <v>397</v>
      </c>
      <c r="E17" s="79" t="s">
        <v>479</v>
      </c>
    </row>
    <row r="18" spans="1:5" ht="14.25">
      <c r="A18" s="89">
        <v>1</v>
      </c>
      <c r="B18" s="89">
        <v>2</v>
      </c>
      <c r="C18" s="89">
        <v>3</v>
      </c>
      <c r="D18" s="89">
        <v>4</v>
      </c>
      <c r="E18" s="90">
        <v>5</v>
      </c>
    </row>
    <row r="19" spans="1:5" ht="16.5">
      <c r="A19" s="135" t="str">
        <f>CONCATENATE("Локальная смета: ",Source!G20)</f>
        <v>Локальная смета: </v>
      </c>
      <c r="B19" s="135"/>
      <c r="C19" s="135"/>
      <c r="D19" s="135"/>
      <c r="E19" s="135"/>
    </row>
    <row r="20" spans="1:5" ht="16.5">
      <c r="A20" s="135" t="str">
        <f>CONCATENATE("Раздел: ",Source!G24)</f>
        <v>Раздел: Демонтажные работы</v>
      </c>
      <c r="B20" s="135"/>
      <c r="C20" s="135"/>
      <c r="D20" s="135"/>
      <c r="E20" s="135"/>
    </row>
    <row r="21" spans="1:5" ht="14.25">
      <c r="A21" s="95">
        <v>1</v>
      </c>
      <c r="B21" s="96" t="str">
        <f>Source!G28</f>
        <v>Устройство шва-стыка в асфальтобетонном покрытии</v>
      </c>
      <c r="C21" s="97" t="str">
        <f>Source!H28</f>
        <v>100 м</v>
      </c>
      <c r="D21" s="98">
        <f>Source!I28</f>
        <v>2.6</v>
      </c>
      <c r="E21" s="96"/>
    </row>
    <row r="22" spans="1:5" ht="14.25">
      <c r="A22" s="95">
        <v>1.1</v>
      </c>
      <c r="B22" s="96" t="str">
        <f>Source!G30</f>
        <v>Погрузчики, грузоподъемность 5 т</v>
      </c>
      <c r="C22" s="97" t="str">
        <f>Source!H30</f>
        <v>маш.-ч.</v>
      </c>
      <c r="D22" s="98">
        <f>Source!I30</f>
        <v>-0.42249999999999993</v>
      </c>
      <c r="E22" s="96"/>
    </row>
    <row r="23" spans="1:5" ht="14.25">
      <c r="A23" s="95">
        <v>1.2</v>
      </c>
      <c r="B23" s="96" t="str">
        <f>Source!G32</f>
        <v>Котлы битумные передвижные 400 л</v>
      </c>
      <c r="C23" s="97" t="str">
        <f>Source!H32</f>
        <v>маш.-ч.</v>
      </c>
      <c r="D23" s="98">
        <f>Source!I32</f>
        <v>-1.9500000000000002</v>
      </c>
      <c r="E23" s="96"/>
    </row>
    <row r="24" spans="1:5" ht="28.5">
      <c r="A24" s="95">
        <v>1.3</v>
      </c>
      <c r="B24" s="96" t="str">
        <f>Source!G34</f>
        <v>Компрессоры передвижные с двигателем внутреннего сгорания, давление до 686 кПа (7 ат), производительность до 5 м3/мин</v>
      </c>
      <c r="C24" s="97" t="str">
        <f>Source!H34</f>
        <v>маш.-ч.</v>
      </c>
      <c r="D24" s="98">
        <f>Source!I34</f>
        <v>-0.6175</v>
      </c>
      <c r="E24" s="96"/>
    </row>
    <row r="25" spans="1:5" ht="14.25">
      <c r="A25" s="95">
        <v>2</v>
      </c>
      <c r="B25" s="96" t="str">
        <f>Source!G36</f>
        <v>Разборка бортовых камней: на бетонном основании</v>
      </c>
      <c r="C25" s="97" t="str">
        <f>Source!H36</f>
        <v>100 м</v>
      </c>
      <c r="D25" s="98">
        <f>Source!I36</f>
        <v>1.37</v>
      </c>
      <c r="E25" s="96"/>
    </row>
    <row r="26" spans="1:5" ht="28.5">
      <c r="A26" s="95">
        <v>3</v>
      </c>
      <c r="B26" s="96" t="str">
        <f>Source!G38</f>
        <v>Разборка асфальтобетонных покрытий тротуаров толщиной до 4 см: вручную</v>
      </c>
      <c r="C26" s="97" t="str">
        <f>Source!H38</f>
        <v>1000 м2</v>
      </c>
      <c r="D26" s="98">
        <f>Source!I38</f>
        <v>0.075</v>
      </c>
      <c r="E26" s="96"/>
    </row>
    <row r="27" spans="1:5" ht="16.5">
      <c r="A27" s="135" t="str">
        <f>CONCATENATE("Раздел: ",Source!G72)</f>
        <v>Раздел: Монтажные работы</v>
      </c>
      <c r="B27" s="135"/>
      <c r="C27" s="135"/>
      <c r="D27" s="135"/>
      <c r="E27" s="135"/>
    </row>
    <row r="28" spans="1:5" ht="14.25">
      <c r="A28" s="95">
        <v>4</v>
      </c>
      <c r="B28" s="96" t="str">
        <f>Source!G76</f>
        <v>Установка бортовых камней бетонных: при цементобетонных покрытиях</v>
      </c>
      <c r="C28" s="97" t="str">
        <f>Source!H76</f>
        <v>100 м</v>
      </c>
      <c r="D28" s="98">
        <f>Source!I76</f>
        <v>1.49</v>
      </c>
      <c r="E28" s="96"/>
    </row>
    <row r="29" spans="1:5" ht="14.25">
      <c r="A29" s="95">
        <v>4.1</v>
      </c>
      <c r="B29" s="96" t="str">
        <f>Source!G78</f>
        <v>Камни бортовые БР 100.30.15, бетон В30 (М400), объем 0,043 м3</v>
      </c>
      <c r="C29" s="97" t="str">
        <f>Source!H78</f>
        <v>ШТ</v>
      </c>
      <c r="D29" s="98">
        <f>Source!I78</f>
        <v>149</v>
      </c>
      <c r="E29" s="96"/>
    </row>
    <row r="30" spans="1:5" ht="28.5">
      <c r="A30" s="95">
        <v>5</v>
      </c>
      <c r="B30" s="96" t="str">
        <f>Source!G80</f>
        <v>Устройство покрытия из горячих асфальтобетонных смесей асфальтоукладчиками второго типоразмера, толщина слоя 4 см</v>
      </c>
      <c r="C30" s="97" t="str">
        <f>Source!H80</f>
        <v>1000 м2</v>
      </c>
      <c r="D30" s="98">
        <f>Source!I80</f>
        <v>0.045</v>
      </c>
      <c r="E30" s="96"/>
    </row>
    <row r="31" spans="1:5" ht="42.75">
      <c r="A31" s="95">
        <v>5.1</v>
      </c>
      <c r="B31" s="96" t="str">
        <f>Source!G82</f>
        <v>Смеси асфальтобетонные дорожные, аэродромные и асфальтобетон (горячие для плотного асфальтобетона мелко и крупнозернистые, песчаные), марка: I, тип В</v>
      </c>
      <c r="C31" s="97" t="str">
        <f>Source!H82</f>
        <v>т</v>
      </c>
      <c r="D31" s="98">
        <f>Source!I82</f>
        <v>4.5</v>
      </c>
      <c r="E31" s="96"/>
    </row>
    <row r="32" spans="1:5" ht="28.5">
      <c r="A32" s="95">
        <v>6</v>
      </c>
      <c r="B32" s="96" t="str">
        <f>Source!G84</f>
        <v>При изменении толщины покрытия на 0,5 см добавлять или исключать к расценке 27-06-029-01 (К=2)</v>
      </c>
      <c r="C32" s="97" t="str">
        <f>Source!H84</f>
        <v>1000 м2</v>
      </c>
      <c r="D32" s="98">
        <f>Source!I84</f>
        <v>0.045</v>
      </c>
      <c r="E32" s="96"/>
    </row>
    <row r="33" spans="1:5" ht="42.75">
      <c r="A33" s="95">
        <v>6.1</v>
      </c>
      <c r="B33" s="96" t="str">
        <f>Source!G86</f>
        <v>Смеси асфальтобетонные дорожные, аэродромные и асфальтобетон (горячие для плотного асфальтобетона мелко и крупнозернистые, песчаные), марка: I, тип В</v>
      </c>
      <c r="C33" s="97" t="str">
        <f>Source!H86</f>
        <v>т</v>
      </c>
      <c r="D33" s="98">
        <f>Source!I86</f>
        <v>1.122</v>
      </c>
      <c r="E33" s="96"/>
    </row>
    <row r="34" spans="1:5" ht="16.5">
      <c r="A34" s="135" t="str">
        <f>CONCATENATE("Раздел: ",Source!G120)</f>
        <v>Раздел: Разные работы</v>
      </c>
      <c r="B34" s="135"/>
      <c r="C34" s="135"/>
      <c r="D34" s="135"/>
      <c r="E34" s="135"/>
    </row>
    <row r="35" spans="1:5" ht="28.5">
      <c r="A35" s="95">
        <v>7</v>
      </c>
      <c r="B35" s="96" t="str">
        <f>Source!G124</f>
        <v>Погрузочные работы при автомобильных перевозках мусора строительного с погрузкой вручную</v>
      </c>
      <c r="C35" s="97" t="str">
        <f>Source!H124</f>
        <v>1 Т ГРУЗА</v>
      </c>
      <c r="D35" s="98">
        <f>Source!I124</f>
        <v>11.7</v>
      </c>
      <c r="E35" s="96"/>
    </row>
    <row r="36" spans="1:5" ht="28.5">
      <c r="A36" s="91">
        <v>8</v>
      </c>
      <c r="B36" s="92" t="str">
        <f>Source!G126</f>
        <v>Перевозка грузов I класса автомобилями бортовыми грузоподъемностью до 15 т на расстояние: до 61 км</v>
      </c>
      <c r="C36" s="93" t="str">
        <f>Source!H126</f>
        <v>1 Т ГРУЗА</v>
      </c>
      <c r="D36" s="94">
        <f>Source!I126</f>
        <v>11.7</v>
      </c>
      <c r="E36" s="92"/>
    </row>
    <row r="39" spans="1:5" ht="15">
      <c r="A39" s="53" t="s">
        <v>485</v>
      </c>
      <c r="B39" s="53"/>
      <c r="C39" s="53" t="s">
        <v>486</v>
      </c>
      <c r="D39" s="53"/>
      <c r="E39" s="53"/>
    </row>
  </sheetData>
  <sheetProtection/>
  <mergeCells count="8">
    <mergeCell ref="A27:E27"/>
    <mergeCell ref="A34:E34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264"/>
  <sheetViews>
    <sheetView zoomScalePageLayoutView="0" workbookViewId="0" topLeftCell="A1">
      <selection activeCell="A260" sqref="A260:AN260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4" spans="1:133" ht="12.75">
      <c r="A4" s="1">
        <v>1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ht="12.75">
      <c r="A12" s="1">
        <v>1</v>
      </c>
      <c r="B12" s="1">
        <v>258</v>
      </c>
      <c r="C12" s="1">
        <v>0</v>
      </c>
      <c r="D12" s="1">
        <f>ROW(A194)</f>
        <v>194</v>
      </c>
      <c r="E12" s="1">
        <v>0</v>
      </c>
      <c r="F12" s="1" t="s">
        <v>3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6</v>
      </c>
      <c r="AC12" s="1" t="s">
        <v>7</v>
      </c>
      <c r="AD12" s="1" t="s">
        <v>8</v>
      </c>
      <c r="AE12" s="1" t="s">
        <v>9</v>
      </c>
      <c r="AF12" s="1" t="s">
        <v>3</v>
      </c>
      <c r="AG12" s="1" t="s">
        <v>3</v>
      </c>
      <c r="AH12" s="1" t="s">
        <v>10</v>
      </c>
      <c r="AI12" s="1" t="s">
        <v>11</v>
      </c>
      <c r="AJ12" s="1" t="s">
        <v>4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365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B194</f>
        <v>258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текущему ремонту элементов благоустройства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O194</f>
        <v>25006.22</v>
      </c>
      <c r="P18" s="3">
        <f t="shared" si="1"/>
        <v>16962.71</v>
      </c>
      <c r="Q18" s="3">
        <f t="shared" si="1"/>
        <v>5644.3</v>
      </c>
      <c r="R18" s="3">
        <f t="shared" si="1"/>
        <v>317.98</v>
      </c>
      <c r="S18" s="3">
        <f t="shared" si="1"/>
        <v>2399.21</v>
      </c>
      <c r="T18" s="3">
        <f t="shared" si="1"/>
        <v>0</v>
      </c>
      <c r="U18" s="3">
        <f t="shared" si="1"/>
        <v>284.15533000000005</v>
      </c>
      <c r="V18" s="3">
        <f t="shared" si="1"/>
        <v>29.8918125</v>
      </c>
      <c r="W18" s="3">
        <f t="shared" si="1"/>
        <v>0</v>
      </c>
      <c r="X18" s="3">
        <f t="shared" si="1"/>
        <v>3298.67</v>
      </c>
      <c r="Y18" s="3">
        <f t="shared" si="1"/>
        <v>2510.31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31630.34</v>
      </c>
      <c r="AS18" s="3">
        <f t="shared" si="1"/>
        <v>31630.34</v>
      </c>
      <c r="AT18" s="3">
        <f t="shared" si="1"/>
        <v>0</v>
      </c>
      <c r="AU18" s="3">
        <f aca="true" t="shared" si="2" ref="AU18:BZ18">AU194</f>
        <v>0</v>
      </c>
      <c r="AV18" s="3">
        <f t="shared" si="2"/>
        <v>16962.71</v>
      </c>
      <c r="AW18" s="3">
        <f t="shared" si="2"/>
        <v>16962.71</v>
      </c>
      <c r="AX18" s="3">
        <f t="shared" si="2"/>
        <v>0</v>
      </c>
      <c r="AY18" s="3">
        <f t="shared" si="2"/>
        <v>16962.71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815.14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CA194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DG194</f>
        <v>275145.16</v>
      </c>
      <c r="DH18" s="4">
        <f t="shared" si="4"/>
        <v>112802.03</v>
      </c>
      <c r="DI18" s="4">
        <f t="shared" si="4"/>
        <v>73884.16</v>
      </c>
      <c r="DJ18" s="4">
        <f t="shared" si="4"/>
        <v>11723.64</v>
      </c>
      <c r="DK18" s="4">
        <f t="shared" si="4"/>
        <v>88458.97</v>
      </c>
      <c r="DL18" s="4">
        <f t="shared" si="4"/>
        <v>0</v>
      </c>
      <c r="DM18" s="4">
        <f t="shared" si="4"/>
        <v>284.15533000000005</v>
      </c>
      <c r="DN18" s="4">
        <f t="shared" si="4"/>
        <v>29.8918125</v>
      </c>
      <c r="DO18" s="4">
        <f t="shared" si="4"/>
        <v>0</v>
      </c>
      <c r="DP18" s="4">
        <f t="shared" si="4"/>
        <v>121621.63</v>
      </c>
      <c r="DQ18" s="4">
        <f t="shared" si="4"/>
        <v>92554.93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499991.89</v>
      </c>
      <c r="EK18" s="4">
        <f t="shared" si="4"/>
        <v>499991.89</v>
      </c>
      <c r="EL18" s="4">
        <f t="shared" si="4"/>
        <v>0</v>
      </c>
      <c r="EM18" s="4">
        <f aca="true" t="shared" si="5" ref="EM18:FR18">EM194</f>
        <v>0</v>
      </c>
      <c r="EN18" s="4">
        <f t="shared" si="5"/>
        <v>112802.03</v>
      </c>
      <c r="EO18" s="4">
        <f t="shared" si="5"/>
        <v>112802.03</v>
      </c>
      <c r="EP18" s="4">
        <f t="shared" si="5"/>
        <v>0</v>
      </c>
      <c r="EQ18" s="4">
        <f t="shared" si="5"/>
        <v>112802.03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10670.17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FS194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ROW(A160)</f>
        <v>160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19</v>
      </c>
      <c r="AC20" s="1" t="s">
        <v>20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B160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O160</f>
        <v>25006.22</v>
      </c>
      <c r="P22" s="3">
        <f t="shared" si="8"/>
        <v>16962.71</v>
      </c>
      <c r="Q22" s="3">
        <f t="shared" si="8"/>
        <v>5644.3</v>
      </c>
      <c r="R22" s="3">
        <f t="shared" si="8"/>
        <v>317.98</v>
      </c>
      <c r="S22" s="3">
        <f t="shared" si="8"/>
        <v>2399.21</v>
      </c>
      <c r="T22" s="3">
        <f t="shared" si="8"/>
        <v>0</v>
      </c>
      <c r="U22" s="3">
        <f t="shared" si="8"/>
        <v>284.15533000000005</v>
      </c>
      <c r="V22" s="3">
        <f t="shared" si="8"/>
        <v>29.8918125</v>
      </c>
      <c r="W22" s="3">
        <f t="shared" si="8"/>
        <v>0</v>
      </c>
      <c r="X22" s="3">
        <f t="shared" si="8"/>
        <v>3298.67</v>
      </c>
      <c r="Y22" s="3">
        <f t="shared" si="8"/>
        <v>2510.31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31630.34</v>
      </c>
      <c r="AS22" s="3">
        <f t="shared" si="8"/>
        <v>31630.34</v>
      </c>
      <c r="AT22" s="3">
        <f t="shared" si="8"/>
        <v>0</v>
      </c>
      <c r="AU22" s="3">
        <f aca="true" t="shared" si="9" ref="AU22:BZ22">AU160</f>
        <v>0</v>
      </c>
      <c r="AV22" s="3">
        <f t="shared" si="9"/>
        <v>16962.71</v>
      </c>
      <c r="AW22" s="3">
        <f t="shared" si="9"/>
        <v>16962.71</v>
      </c>
      <c r="AX22" s="3">
        <f t="shared" si="9"/>
        <v>0</v>
      </c>
      <c r="AY22" s="3">
        <f t="shared" si="9"/>
        <v>16962.71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815.14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CA160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DG160</f>
        <v>275145.16</v>
      </c>
      <c r="DH22" s="4">
        <f t="shared" si="11"/>
        <v>112802.03</v>
      </c>
      <c r="DI22" s="4">
        <f t="shared" si="11"/>
        <v>73884.16</v>
      </c>
      <c r="DJ22" s="4">
        <f t="shared" si="11"/>
        <v>11723.64</v>
      </c>
      <c r="DK22" s="4">
        <f t="shared" si="11"/>
        <v>88458.97</v>
      </c>
      <c r="DL22" s="4">
        <f t="shared" si="11"/>
        <v>0</v>
      </c>
      <c r="DM22" s="4">
        <f t="shared" si="11"/>
        <v>284.15533000000005</v>
      </c>
      <c r="DN22" s="4">
        <f t="shared" si="11"/>
        <v>29.8918125</v>
      </c>
      <c r="DO22" s="4">
        <f t="shared" si="11"/>
        <v>0</v>
      </c>
      <c r="DP22" s="4">
        <f t="shared" si="11"/>
        <v>121621.63</v>
      </c>
      <c r="DQ22" s="4">
        <f t="shared" si="11"/>
        <v>92554.93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499991.89</v>
      </c>
      <c r="EK22" s="4">
        <f t="shared" si="11"/>
        <v>499991.89</v>
      </c>
      <c r="EL22" s="4">
        <f t="shared" si="11"/>
        <v>0</v>
      </c>
      <c r="EM22" s="4">
        <f aca="true" t="shared" si="12" ref="EM22:FR22">EM160</f>
        <v>0</v>
      </c>
      <c r="EN22" s="4">
        <f t="shared" si="12"/>
        <v>112802.03</v>
      </c>
      <c r="EO22" s="4">
        <f t="shared" si="12"/>
        <v>112802.03</v>
      </c>
      <c r="EP22" s="4">
        <f t="shared" si="12"/>
        <v>0</v>
      </c>
      <c r="EQ22" s="4">
        <f t="shared" si="12"/>
        <v>112802.03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10670.17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FS160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ROW(A41)</f>
        <v>41</v>
      </c>
      <c r="E24" s="1"/>
      <c r="F24" s="1" t="s">
        <v>3</v>
      </c>
      <c r="G24" s="1" t="s">
        <v>21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B41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>
        <f t="shared" si="14"/>
      </c>
      <c r="G26" s="3" t="str">
        <f t="shared" si="14"/>
        <v>Демонтажные работы</v>
      </c>
      <c r="H26" s="3"/>
      <c r="I26" s="3"/>
      <c r="J26" s="3"/>
      <c r="K26" s="3"/>
      <c r="L26" s="3"/>
      <c r="M26" s="3"/>
      <c r="N26" s="3"/>
      <c r="O26" s="3">
        <f aca="true" t="shared" si="15" ref="O26:AT26">O41</f>
        <v>7524.39</v>
      </c>
      <c r="P26" s="3">
        <f t="shared" si="15"/>
        <v>1087.89</v>
      </c>
      <c r="Q26" s="3">
        <f t="shared" si="15"/>
        <v>5058.91</v>
      </c>
      <c r="R26" s="3">
        <f t="shared" si="15"/>
        <v>287.91</v>
      </c>
      <c r="S26" s="3">
        <f t="shared" si="15"/>
        <v>1377.59</v>
      </c>
      <c r="T26" s="3">
        <f t="shared" si="15"/>
        <v>0</v>
      </c>
      <c r="U26" s="3">
        <f t="shared" si="15"/>
        <v>163.43730000000002</v>
      </c>
      <c r="V26" s="3">
        <f t="shared" si="15"/>
        <v>27.568</v>
      </c>
      <c r="W26" s="3">
        <f t="shared" si="15"/>
        <v>0</v>
      </c>
      <c r="X26" s="3">
        <f t="shared" si="15"/>
        <v>1907.28</v>
      </c>
      <c r="Y26" s="3">
        <f t="shared" si="15"/>
        <v>1312.43</v>
      </c>
      <c r="Z26" s="3">
        <f t="shared" si="15"/>
        <v>0</v>
      </c>
      <c r="AA26" s="3">
        <f t="shared" si="15"/>
        <v>0</v>
      </c>
      <c r="AB26" s="3">
        <f t="shared" si="15"/>
        <v>7524.39</v>
      </c>
      <c r="AC26" s="3">
        <f t="shared" si="15"/>
        <v>1087.89</v>
      </c>
      <c r="AD26" s="3">
        <f t="shared" si="15"/>
        <v>5058.91</v>
      </c>
      <c r="AE26" s="3">
        <f t="shared" si="15"/>
        <v>287.91</v>
      </c>
      <c r="AF26" s="3">
        <f t="shared" si="15"/>
        <v>1377.59</v>
      </c>
      <c r="AG26" s="3">
        <f t="shared" si="15"/>
        <v>0</v>
      </c>
      <c r="AH26" s="3">
        <f t="shared" si="15"/>
        <v>163.43730000000002</v>
      </c>
      <c r="AI26" s="3">
        <f t="shared" si="15"/>
        <v>27.568</v>
      </c>
      <c r="AJ26" s="3">
        <f t="shared" si="15"/>
        <v>0</v>
      </c>
      <c r="AK26" s="3">
        <f t="shared" si="15"/>
        <v>1907.28</v>
      </c>
      <c r="AL26" s="3">
        <f t="shared" si="15"/>
        <v>1312.43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10744.1</v>
      </c>
      <c r="AS26" s="3">
        <f t="shared" si="15"/>
        <v>10744.1</v>
      </c>
      <c r="AT26" s="3">
        <f t="shared" si="15"/>
        <v>0</v>
      </c>
      <c r="AU26" s="3">
        <f aca="true" t="shared" si="16" ref="AU26:BZ26">AU41</f>
        <v>0</v>
      </c>
      <c r="AV26" s="3">
        <f t="shared" si="16"/>
        <v>1087.89</v>
      </c>
      <c r="AW26" s="3">
        <f t="shared" si="16"/>
        <v>1087.89</v>
      </c>
      <c r="AX26" s="3">
        <f t="shared" si="16"/>
        <v>0</v>
      </c>
      <c r="AY26" s="3">
        <f t="shared" si="16"/>
        <v>1087.89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CA41</f>
        <v>10744.1</v>
      </c>
      <c r="CB26" s="3">
        <f t="shared" si="17"/>
        <v>10744.1</v>
      </c>
      <c r="CC26" s="3">
        <f t="shared" si="17"/>
        <v>0</v>
      </c>
      <c r="CD26" s="3">
        <f t="shared" si="17"/>
        <v>0</v>
      </c>
      <c r="CE26" s="3">
        <f t="shared" si="17"/>
        <v>1087.89</v>
      </c>
      <c r="CF26" s="3">
        <f t="shared" si="17"/>
        <v>1087.89</v>
      </c>
      <c r="CG26" s="3">
        <f t="shared" si="17"/>
        <v>0</v>
      </c>
      <c r="CH26" s="3">
        <f t="shared" si="17"/>
        <v>1087.89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DG41</f>
        <v>124247.7</v>
      </c>
      <c r="DH26" s="4">
        <f t="shared" si="18"/>
        <v>7234.48</v>
      </c>
      <c r="DI26" s="4">
        <f t="shared" si="18"/>
        <v>66221.37</v>
      </c>
      <c r="DJ26" s="4">
        <f t="shared" si="18"/>
        <v>10614.98</v>
      </c>
      <c r="DK26" s="4">
        <f t="shared" si="18"/>
        <v>50791.85</v>
      </c>
      <c r="DL26" s="4">
        <f t="shared" si="18"/>
        <v>0</v>
      </c>
      <c r="DM26" s="4">
        <f t="shared" si="18"/>
        <v>163.43730000000002</v>
      </c>
      <c r="DN26" s="4">
        <f t="shared" si="18"/>
        <v>27.568</v>
      </c>
      <c r="DO26" s="4">
        <f t="shared" si="18"/>
        <v>0</v>
      </c>
      <c r="DP26" s="4">
        <f t="shared" si="18"/>
        <v>70321.28</v>
      </c>
      <c r="DQ26" s="4">
        <f t="shared" si="18"/>
        <v>48389.32</v>
      </c>
      <c r="DR26" s="4">
        <f t="shared" si="18"/>
        <v>0</v>
      </c>
      <c r="DS26" s="4">
        <f t="shared" si="18"/>
        <v>0</v>
      </c>
      <c r="DT26" s="4">
        <f t="shared" si="18"/>
        <v>124247.7</v>
      </c>
      <c r="DU26" s="4">
        <f t="shared" si="18"/>
        <v>7234.48</v>
      </c>
      <c r="DV26" s="4">
        <f t="shared" si="18"/>
        <v>66221.37</v>
      </c>
      <c r="DW26" s="4">
        <f t="shared" si="18"/>
        <v>10614.98</v>
      </c>
      <c r="DX26" s="4">
        <f t="shared" si="18"/>
        <v>50791.85</v>
      </c>
      <c r="DY26" s="4">
        <f t="shared" si="18"/>
        <v>0</v>
      </c>
      <c r="DZ26" s="4">
        <f t="shared" si="18"/>
        <v>163.43730000000002</v>
      </c>
      <c r="EA26" s="4">
        <f t="shared" si="18"/>
        <v>27.568</v>
      </c>
      <c r="EB26" s="4">
        <f t="shared" si="18"/>
        <v>0</v>
      </c>
      <c r="EC26" s="4">
        <f t="shared" si="18"/>
        <v>70321.28</v>
      </c>
      <c r="ED26" s="4">
        <f t="shared" si="18"/>
        <v>48389.32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242958.3</v>
      </c>
      <c r="EK26" s="4">
        <f t="shared" si="18"/>
        <v>242958.3</v>
      </c>
      <c r="EL26" s="4">
        <f t="shared" si="18"/>
        <v>0</v>
      </c>
      <c r="EM26" s="4">
        <f aca="true" t="shared" si="19" ref="EM26:FR26">EM41</f>
        <v>0</v>
      </c>
      <c r="EN26" s="4">
        <f t="shared" si="19"/>
        <v>7234.48</v>
      </c>
      <c r="EO26" s="4">
        <f t="shared" si="19"/>
        <v>7234.48</v>
      </c>
      <c r="EP26" s="4">
        <f t="shared" si="19"/>
        <v>0</v>
      </c>
      <c r="EQ26" s="4">
        <f t="shared" si="19"/>
        <v>7234.48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FS41</f>
        <v>242958.3</v>
      </c>
      <c r="FT26" s="4">
        <f t="shared" si="20"/>
        <v>242958.3</v>
      </c>
      <c r="FU26" s="4">
        <f t="shared" si="20"/>
        <v>0</v>
      </c>
      <c r="FV26" s="4">
        <f t="shared" si="20"/>
        <v>0</v>
      </c>
      <c r="FW26" s="4">
        <f t="shared" si="20"/>
        <v>7234.48</v>
      </c>
      <c r="FX26" s="4">
        <f t="shared" si="20"/>
        <v>7234.48</v>
      </c>
      <c r="FY26" s="4">
        <f t="shared" si="20"/>
        <v>0</v>
      </c>
      <c r="FZ26" s="4">
        <f t="shared" si="20"/>
        <v>7234.48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ROW(SmtRes!A14)</f>
        <v>14</v>
      </c>
      <c r="D28" s="2">
        <f>ROW(EtalonRes!A14)</f>
        <v>14</v>
      </c>
      <c r="E28" s="2" t="s">
        <v>22</v>
      </c>
      <c r="F28" s="2" t="s">
        <v>23</v>
      </c>
      <c r="G28" s="2" t="s">
        <v>24</v>
      </c>
      <c r="H28" s="2" t="s">
        <v>25</v>
      </c>
      <c r="I28" s="2">
        <f>ROUND(260/100,7)</f>
        <v>2.6</v>
      </c>
      <c r="J28" s="2">
        <v>0</v>
      </c>
      <c r="K28" s="2">
        <f>ROUND(260/100,7)</f>
        <v>2.6</v>
      </c>
      <c r="L28" s="2"/>
      <c r="M28" s="2"/>
      <c r="N28" s="2"/>
      <c r="O28" s="2">
        <f aca="true" t="shared" si="21" ref="O28:O39">ROUND(CP28,2)</f>
        <v>5615.5</v>
      </c>
      <c r="P28" s="2">
        <f aca="true" t="shared" si="22" ref="P28:P39">ROUND(CQ28*I28,2)</f>
        <v>1087.89</v>
      </c>
      <c r="Q28" s="2">
        <f aca="true" t="shared" si="23" ref="Q28:Q39">ROUND(CR28*I28,2)</f>
        <v>3992.87</v>
      </c>
      <c r="R28" s="2">
        <f aca="true" t="shared" si="24" ref="R28:R39">ROUND(CS28*I28,2)</f>
        <v>168.82</v>
      </c>
      <c r="S28" s="2">
        <f aca="true" t="shared" si="25" ref="S28:S39">ROUND(CT28*I28,2)</f>
        <v>534.74</v>
      </c>
      <c r="T28" s="2">
        <f aca="true" t="shared" si="26" ref="T28:T39">ROUND(CU28*I28,2)</f>
        <v>0</v>
      </c>
      <c r="U28" s="2">
        <f aca="true" t="shared" si="27" ref="U28:U39">CV28*I28</f>
        <v>65.4511</v>
      </c>
      <c r="V28" s="2">
        <f aca="true" t="shared" si="28" ref="V28:V39">CW28*I28</f>
        <v>14.69</v>
      </c>
      <c r="W28" s="2">
        <f aca="true" t="shared" si="29" ref="W28:W39">ROUND(CX28*I28,2)</f>
        <v>0</v>
      </c>
      <c r="X28" s="2">
        <f aca="true" t="shared" si="30" ref="X28:X39">ROUND(CY28,2)</f>
        <v>930.81</v>
      </c>
      <c r="Y28" s="2">
        <f aca="true" t="shared" si="31" ref="Y28:Y39">ROUND(CZ28,2)</f>
        <v>801.35</v>
      </c>
      <c r="Z28" s="2"/>
      <c r="AA28" s="2">
        <v>55468472</v>
      </c>
      <c r="AB28" s="2">
        <f aca="true" t="shared" si="32" ref="AB28:AB39">ROUND((AC28+AD28+AF28),2)</f>
        <v>2159.81</v>
      </c>
      <c r="AC28" s="2">
        <f aca="true" t="shared" si="33" ref="AC28:AC39">ROUND((ES28),2)</f>
        <v>418.42</v>
      </c>
      <c r="AD28" s="2">
        <f>ROUND(((((ET28*ROUND(1.25,7)))-((EU28*ROUND(1.25,7))))+AE28),2)</f>
        <v>1535.72</v>
      </c>
      <c r="AE28" s="2">
        <f>ROUND(((EU28*ROUND(1.25,7))),2)</f>
        <v>64.93</v>
      </c>
      <c r="AF28" s="2">
        <f>ROUND(((EV28*ROUND(1.15,7))),2)</f>
        <v>205.67</v>
      </c>
      <c r="AG28" s="2">
        <f aca="true" t="shared" si="34" ref="AG28:AG39">ROUND((AP28),2)</f>
        <v>0</v>
      </c>
      <c r="AH28" s="2">
        <f>((EW28*ROUND(1.15,7)))</f>
        <v>25.173499999999997</v>
      </c>
      <c r="AI28" s="2">
        <f>((EX28*ROUND(1.25,7)))</f>
        <v>5.6499999999999995</v>
      </c>
      <c r="AJ28" s="2">
        <f aca="true" t="shared" si="35" ref="AJ28:AJ39">(AS28)</f>
        <v>0</v>
      </c>
      <c r="AK28" s="2">
        <v>1825.83</v>
      </c>
      <c r="AL28" s="2">
        <v>418.42</v>
      </c>
      <c r="AM28" s="2">
        <v>1228.57</v>
      </c>
      <c r="AN28" s="2">
        <v>51.94</v>
      </c>
      <c r="AO28" s="2">
        <v>178.84</v>
      </c>
      <c r="AP28" s="2">
        <v>0</v>
      </c>
      <c r="AQ28" s="2">
        <v>21.89</v>
      </c>
      <c r="AR28" s="2">
        <v>4.52</v>
      </c>
      <c r="AS28" s="2">
        <v>0</v>
      </c>
      <c r="AT28" s="2">
        <v>132.3</v>
      </c>
      <c r="AU28" s="2">
        <v>113.9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26</v>
      </c>
      <c r="BK28" s="2"/>
      <c r="BL28" s="2"/>
      <c r="BM28" s="2">
        <v>27001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147</v>
      </c>
      <c r="CA28" s="2">
        <v>134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366</v>
      </c>
      <c r="CO28" s="2">
        <v>0</v>
      </c>
      <c r="CP28" s="2">
        <f aca="true" t="shared" si="36" ref="CP28:CP39">(P28+Q28+S28)</f>
        <v>5615.5</v>
      </c>
      <c r="CQ28" s="2">
        <f aca="true" t="shared" si="37" ref="CQ28:CQ39">AC28*BC28</f>
        <v>418.42</v>
      </c>
      <c r="CR28" s="2">
        <f>((((ET28*ROUND(1.25,7)))*BB28-((EU28*ROUND(1.25,7)))*BS28)+AE28*BS28)</f>
        <v>1535.7175</v>
      </c>
      <c r="CS28" s="2">
        <f aca="true" t="shared" si="38" ref="CS28:CS39">AE28*BS28</f>
        <v>64.93</v>
      </c>
      <c r="CT28" s="2">
        <f aca="true" t="shared" si="39" ref="CT28:CT39">AF28*BA28</f>
        <v>205.67</v>
      </c>
      <c r="CU28" s="2">
        <f aca="true" t="shared" si="40" ref="CU28:CU39">AG28</f>
        <v>0</v>
      </c>
      <c r="CV28" s="2">
        <f aca="true" t="shared" si="41" ref="CV28:CV39">AH28</f>
        <v>25.173499999999997</v>
      </c>
      <c r="CW28" s="2">
        <f aca="true" t="shared" si="42" ref="CW28:CW39">AI28</f>
        <v>5.6499999999999995</v>
      </c>
      <c r="CX28" s="2">
        <f aca="true" t="shared" si="43" ref="CX28:CX39">AJ28</f>
        <v>0</v>
      </c>
      <c r="CY28" s="2">
        <f aca="true" t="shared" si="44" ref="CY28:CY39">(((S28+R28)*AT28)/100)</f>
        <v>930.80988</v>
      </c>
      <c r="CZ28" s="2">
        <f aca="true" t="shared" si="45" ref="CZ28:CZ39">(((S28+R28)*AU28)/100)</f>
        <v>801.35484</v>
      </c>
      <c r="DA28" s="2"/>
      <c r="DB28" s="2"/>
      <c r="DC28" s="2" t="s">
        <v>3</v>
      </c>
      <c r="DD28" s="2" t="s">
        <v>3</v>
      </c>
      <c r="DE28" s="2" t="s">
        <v>27</v>
      </c>
      <c r="DF28" s="2" t="s">
        <v>27</v>
      </c>
      <c r="DG28" s="2" t="s">
        <v>28</v>
      </c>
      <c r="DH28" s="2" t="s">
        <v>3</v>
      </c>
      <c r="DI28" s="2" t="s">
        <v>28</v>
      </c>
      <c r="DJ28" s="2" t="s">
        <v>27</v>
      </c>
      <c r="DK28" s="2" t="s">
        <v>3</v>
      </c>
      <c r="DL28" s="2" t="s">
        <v>29</v>
      </c>
      <c r="DM28" s="2" t="s">
        <v>30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25</v>
      </c>
      <c r="DW28" s="2" t="s">
        <v>25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55471715</v>
      </c>
      <c r="EF28" s="2">
        <v>2</v>
      </c>
      <c r="EG28" s="2" t="s">
        <v>31</v>
      </c>
      <c r="EH28" s="2">
        <v>21</v>
      </c>
      <c r="EI28" s="2" t="s">
        <v>32</v>
      </c>
      <c r="EJ28" s="2">
        <v>1</v>
      </c>
      <c r="EK28" s="2">
        <v>27001</v>
      </c>
      <c r="EL28" s="2" t="s">
        <v>32</v>
      </c>
      <c r="EM28" s="2" t="s">
        <v>33</v>
      </c>
      <c r="EN28" s="2"/>
      <c r="EO28" s="2" t="s">
        <v>34</v>
      </c>
      <c r="EP28" s="2"/>
      <c r="EQ28" s="2">
        <v>0</v>
      </c>
      <c r="ER28" s="2">
        <v>1825.83</v>
      </c>
      <c r="ES28" s="2">
        <v>418.42</v>
      </c>
      <c r="ET28" s="2">
        <v>1228.57</v>
      </c>
      <c r="EU28" s="2">
        <v>51.94</v>
      </c>
      <c r="EV28" s="2">
        <v>178.84</v>
      </c>
      <c r="EW28" s="2">
        <v>21.89</v>
      </c>
      <c r="EX28" s="2">
        <v>4.52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6" ref="FR28:FR39">ROUND(IF(AND(BH28=3,BI28=3),P28,0),2)</f>
        <v>0</v>
      </c>
      <c r="FS28" s="2">
        <v>0</v>
      </c>
      <c r="FT28" s="2"/>
      <c r="FU28" s="2"/>
      <c r="FV28" s="2"/>
      <c r="FW28" s="2"/>
      <c r="FX28" s="2">
        <v>132.3</v>
      </c>
      <c r="FY28" s="2">
        <v>113.9</v>
      </c>
      <c r="FZ28" s="2"/>
      <c r="GA28" s="2" t="s">
        <v>3</v>
      </c>
      <c r="GB28" s="2"/>
      <c r="GC28" s="2"/>
      <c r="GD28" s="2">
        <v>1</v>
      </c>
      <c r="GE28" s="2"/>
      <c r="GF28" s="2">
        <v>645247931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47" ref="GL28:GL39">ROUND(IF(AND(BH28=3,BI28=3,FS28&lt;&gt;0),P28,0),2)</f>
        <v>0</v>
      </c>
      <c r="GM28" s="2">
        <f aca="true" t="shared" si="48" ref="GM28:GM39">ROUND(O28+X28+Y28,2)+GX28</f>
        <v>7347.66</v>
      </c>
      <c r="GN28" s="2">
        <f aca="true" t="shared" si="49" ref="GN28:GN39">IF(OR(BI28=0,BI28=1),ROUND(O28+X28+Y28,2),0)</f>
        <v>7347.66</v>
      </c>
      <c r="GO28" s="2">
        <f aca="true" t="shared" si="50" ref="GO28:GO39">IF(BI28=2,ROUND(O28+X28+Y28,2),0)</f>
        <v>0</v>
      </c>
      <c r="GP28" s="2">
        <f aca="true" t="shared" si="51" ref="GP28:GP39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2" ref="GV28:GV39">ROUND((GT28),2)</f>
        <v>0</v>
      </c>
      <c r="GW28" s="2">
        <v>1</v>
      </c>
      <c r="GX28" s="2">
        <f aca="true" t="shared" si="53" ref="GX28:GX39">ROUND(HC28*I28,2)</f>
        <v>0</v>
      </c>
      <c r="GY28" s="2"/>
      <c r="GZ28" s="2"/>
      <c r="HA28" s="2">
        <v>0</v>
      </c>
      <c r="HB28" s="2">
        <v>0</v>
      </c>
      <c r="HC28" s="2">
        <f aca="true" t="shared" si="54" ref="HC28:HC39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35</v>
      </c>
      <c r="HO28" s="2" t="s">
        <v>36</v>
      </c>
      <c r="HP28" s="2" t="s">
        <v>32</v>
      </c>
      <c r="HQ28" s="2" t="s">
        <v>32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ROW(SmtRes!A28)</f>
        <v>28</v>
      </c>
      <c r="D29">
        <f>ROW(EtalonRes!A28)</f>
        <v>28</v>
      </c>
      <c r="E29" t="s">
        <v>22</v>
      </c>
      <c r="F29" t="s">
        <v>23</v>
      </c>
      <c r="G29" t="s">
        <v>24</v>
      </c>
      <c r="H29" t="s">
        <v>25</v>
      </c>
      <c r="I29">
        <f>ROUND(260/100,7)</f>
        <v>2.6</v>
      </c>
      <c r="J29">
        <v>0</v>
      </c>
      <c r="K29">
        <f>ROUND(260/100,7)</f>
        <v>2.6</v>
      </c>
      <c r="O29">
        <f t="shared" si="21"/>
        <v>79217.34</v>
      </c>
      <c r="P29">
        <f t="shared" si="22"/>
        <v>7234.48</v>
      </c>
      <c r="Q29">
        <f t="shared" si="23"/>
        <v>52266.92</v>
      </c>
      <c r="R29">
        <f t="shared" si="24"/>
        <v>6224.32</v>
      </c>
      <c r="S29">
        <f t="shared" si="25"/>
        <v>19715.94</v>
      </c>
      <c r="T29">
        <f t="shared" si="26"/>
        <v>0</v>
      </c>
      <c r="U29">
        <f t="shared" si="27"/>
        <v>65.4511</v>
      </c>
      <c r="V29">
        <f t="shared" si="28"/>
        <v>14.69</v>
      </c>
      <c r="W29">
        <f t="shared" si="29"/>
        <v>0</v>
      </c>
      <c r="X29">
        <f t="shared" si="30"/>
        <v>34318.96</v>
      </c>
      <c r="Y29">
        <f t="shared" si="31"/>
        <v>29545.96</v>
      </c>
      <c r="AA29">
        <v>55468473</v>
      </c>
      <c r="AB29">
        <f t="shared" si="32"/>
        <v>2159.81</v>
      </c>
      <c r="AC29">
        <f t="shared" si="33"/>
        <v>418.42</v>
      </c>
      <c r="AD29">
        <f>ROUND(((((ET29*ROUND(1.25,7)))-((EU29*ROUND(1.25,7))))+AE29),2)</f>
        <v>1535.72</v>
      </c>
      <c r="AE29">
        <f>ROUND(((EU29*ROUND(1.25,7))),2)</f>
        <v>64.93</v>
      </c>
      <c r="AF29">
        <f>ROUND(((EV29*ROUND(1.15,7))),2)</f>
        <v>205.67</v>
      </c>
      <c r="AG29">
        <f t="shared" si="34"/>
        <v>0</v>
      </c>
      <c r="AH29">
        <f>((EW29*ROUND(1.15,7)))</f>
        <v>25.173499999999997</v>
      </c>
      <c r="AI29">
        <f>((EX29*ROUND(1.25,7)))</f>
        <v>5.6499999999999995</v>
      </c>
      <c r="AJ29">
        <f t="shared" si="35"/>
        <v>0</v>
      </c>
      <c r="AK29">
        <v>1825.83</v>
      </c>
      <c r="AL29">
        <v>418.42</v>
      </c>
      <c r="AM29">
        <v>1228.57</v>
      </c>
      <c r="AN29">
        <v>51.94</v>
      </c>
      <c r="AO29">
        <v>178.84</v>
      </c>
      <c r="AP29">
        <v>0</v>
      </c>
      <c r="AQ29">
        <v>21.89</v>
      </c>
      <c r="AR29">
        <v>4.52</v>
      </c>
      <c r="AS29">
        <v>0</v>
      </c>
      <c r="AT29">
        <v>132.3</v>
      </c>
      <c r="AU29">
        <v>113.9</v>
      </c>
      <c r="AV29">
        <v>1</v>
      </c>
      <c r="AW29">
        <v>1</v>
      </c>
      <c r="AZ29">
        <v>1</v>
      </c>
      <c r="BA29">
        <v>36.87</v>
      </c>
      <c r="BB29">
        <v>13.09</v>
      </c>
      <c r="BC29">
        <v>6.65</v>
      </c>
      <c r="BH29">
        <v>0</v>
      </c>
      <c r="BI29">
        <v>1</v>
      </c>
      <c r="BJ29" t="s">
        <v>26</v>
      </c>
      <c r="BM29">
        <v>27001</v>
      </c>
      <c r="BN29">
        <v>0</v>
      </c>
      <c r="BO29" t="s">
        <v>37</v>
      </c>
      <c r="BP29">
        <v>1</v>
      </c>
      <c r="BQ29">
        <v>2</v>
      </c>
      <c r="BR29">
        <v>0</v>
      </c>
      <c r="BS29">
        <v>36.87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147</v>
      </c>
      <c r="CA29">
        <v>134</v>
      </c>
      <c r="CE29">
        <v>0</v>
      </c>
      <c r="CF29">
        <v>0</v>
      </c>
      <c r="CG29">
        <v>0</v>
      </c>
      <c r="CM29">
        <v>0</v>
      </c>
      <c r="CN29" t="s">
        <v>366</v>
      </c>
      <c r="CO29">
        <v>0</v>
      </c>
      <c r="CP29">
        <f t="shared" si="36"/>
        <v>79217.34</v>
      </c>
      <c r="CQ29">
        <f t="shared" si="37"/>
        <v>2782.4930000000004</v>
      </c>
      <c r="CR29">
        <f>((((ET29*ROUND(1.25,7)))*BB29-((EU29*ROUND(1.25,7)))*BS29)+AE29*BS29)</f>
        <v>20102.660975</v>
      </c>
      <c r="CS29">
        <f t="shared" si="38"/>
        <v>2393.9691000000003</v>
      </c>
      <c r="CT29">
        <f t="shared" si="39"/>
        <v>7583.052899999999</v>
      </c>
      <c r="CU29">
        <f t="shared" si="40"/>
        <v>0</v>
      </c>
      <c r="CV29">
        <f t="shared" si="41"/>
        <v>25.173499999999997</v>
      </c>
      <c r="CW29">
        <f t="shared" si="42"/>
        <v>5.6499999999999995</v>
      </c>
      <c r="CX29">
        <f t="shared" si="43"/>
        <v>0</v>
      </c>
      <c r="CY29">
        <f t="shared" si="44"/>
        <v>34318.96398</v>
      </c>
      <c r="CZ29">
        <f t="shared" si="45"/>
        <v>29545.956140000002</v>
      </c>
      <c r="DE29" t="s">
        <v>27</v>
      </c>
      <c r="DF29" t="s">
        <v>27</v>
      </c>
      <c r="DG29" t="s">
        <v>28</v>
      </c>
      <c r="DI29" t="s">
        <v>28</v>
      </c>
      <c r="DJ29" t="s">
        <v>27</v>
      </c>
      <c r="DL29" t="s">
        <v>29</v>
      </c>
      <c r="DM29" t="s">
        <v>30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25</v>
      </c>
      <c r="DW29" t="s">
        <v>25</v>
      </c>
      <c r="DX29">
        <v>100</v>
      </c>
      <c r="EE29">
        <v>55471715</v>
      </c>
      <c r="EF29">
        <v>2</v>
      </c>
      <c r="EG29" t="s">
        <v>31</v>
      </c>
      <c r="EH29">
        <v>21</v>
      </c>
      <c r="EI29" t="s">
        <v>32</v>
      </c>
      <c r="EJ29">
        <v>1</v>
      </c>
      <c r="EK29">
        <v>27001</v>
      </c>
      <c r="EL29" t="s">
        <v>32</v>
      </c>
      <c r="EM29" t="s">
        <v>33</v>
      </c>
      <c r="EO29" t="s">
        <v>34</v>
      </c>
      <c r="EQ29">
        <v>0</v>
      </c>
      <c r="ER29">
        <v>1825.83</v>
      </c>
      <c r="ES29">
        <v>418.42</v>
      </c>
      <c r="ET29">
        <v>1228.57</v>
      </c>
      <c r="EU29">
        <v>51.94</v>
      </c>
      <c r="EV29">
        <v>178.84</v>
      </c>
      <c r="EW29">
        <v>21.89</v>
      </c>
      <c r="EX29">
        <v>4.52</v>
      </c>
      <c r="EY29">
        <v>0</v>
      </c>
      <c r="FQ29">
        <v>0</v>
      </c>
      <c r="FR29">
        <f t="shared" si="46"/>
        <v>0</v>
      </c>
      <c r="FS29">
        <v>0</v>
      </c>
      <c r="FX29">
        <v>132.3</v>
      </c>
      <c r="FY29">
        <v>113.9</v>
      </c>
      <c r="GD29">
        <v>1</v>
      </c>
      <c r="GF29">
        <v>645247931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7"/>
        <v>0</v>
      </c>
      <c r="GM29">
        <f t="shared" si="48"/>
        <v>143082.26</v>
      </c>
      <c r="GN29">
        <f t="shared" si="49"/>
        <v>143082.26</v>
      </c>
      <c r="GO29">
        <f t="shared" si="50"/>
        <v>0</v>
      </c>
      <c r="GP29">
        <f t="shared" si="51"/>
        <v>0</v>
      </c>
      <c r="GR29">
        <v>0</v>
      </c>
      <c r="GS29">
        <v>3</v>
      </c>
      <c r="GT29">
        <v>0</v>
      </c>
      <c r="GV29">
        <f t="shared" si="52"/>
        <v>0</v>
      </c>
      <c r="GW29">
        <v>1</v>
      </c>
      <c r="GX29">
        <f t="shared" si="53"/>
        <v>0</v>
      </c>
      <c r="HA29">
        <v>0</v>
      </c>
      <c r="HB29">
        <v>0</v>
      </c>
      <c r="HC29">
        <f t="shared" si="54"/>
        <v>0</v>
      </c>
      <c r="HN29" t="s">
        <v>35</v>
      </c>
      <c r="HO29" t="s">
        <v>36</v>
      </c>
      <c r="HP29" t="s">
        <v>32</v>
      </c>
      <c r="HQ29" t="s">
        <v>32</v>
      </c>
      <c r="IK29">
        <v>0</v>
      </c>
    </row>
    <row r="30" spans="1:255" ht="12.75">
      <c r="A30" s="2">
        <v>18</v>
      </c>
      <c r="B30" s="2">
        <v>1</v>
      </c>
      <c r="C30" s="2">
        <v>3</v>
      </c>
      <c r="D30" s="2"/>
      <c r="E30" s="2" t="s">
        <v>38</v>
      </c>
      <c r="F30" s="2" t="s">
        <v>39</v>
      </c>
      <c r="G30" s="2" t="s">
        <v>40</v>
      </c>
      <c r="H30" s="2" t="s">
        <v>41</v>
      </c>
      <c r="I30" s="2">
        <f>I28*J30</f>
        <v>-0.42249999999999993</v>
      </c>
      <c r="J30" s="2">
        <v>-0.16249999999999998</v>
      </c>
      <c r="K30" s="2">
        <v>-0.13</v>
      </c>
      <c r="L30" s="2"/>
      <c r="M30" s="2"/>
      <c r="N30" s="2"/>
      <c r="O30" s="2">
        <f t="shared" si="21"/>
        <v>-38.02</v>
      </c>
      <c r="P30" s="2">
        <f t="shared" si="22"/>
        <v>0</v>
      </c>
      <c r="Q30" s="2">
        <f t="shared" si="23"/>
        <v>-38.02</v>
      </c>
      <c r="R30" s="2">
        <f t="shared" si="24"/>
        <v>-4.25</v>
      </c>
      <c r="S30" s="2">
        <f t="shared" si="25"/>
        <v>0</v>
      </c>
      <c r="T30" s="2">
        <f t="shared" si="26"/>
        <v>0</v>
      </c>
      <c r="U30" s="2">
        <f t="shared" si="27"/>
        <v>0</v>
      </c>
      <c r="V30" s="2">
        <f t="shared" si="28"/>
        <v>0</v>
      </c>
      <c r="W30" s="2">
        <f t="shared" si="29"/>
        <v>0</v>
      </c>
      <c r="X30" s="2">
        <f t="shared" si="30"/>
        <v>-6.25</v>
      </c>
      <c r="Y30" s="2">
        <f t="shared" si="31"/>
        <v>-5.7</v>
      </c>
      <c r="Z30" s="2"/>
      <c r="AA30" s="2">
        <v>55468472</v>
      </c>
      <c r="AB30" s="2">
        <f t="shared" si="32"/>
        <v>89.99</v>
      </c>
      <c r="AC30" s="2">
        <f t="shared" si="33"/>
        <v>0</v>
      </c>
      <c r="AD30" s="2">
        <f aca="true" t="shared" si="55" ref="AD30:AD39">ROUND((((ET30)-(EU30))+AE30),2)</f>
        <v>89.99</v>
      </c>
      <c r="AE30" s="2">
        <f aca="true" t="shared" si="56" ref="AE30:AE39">ROUND((EU30),2)</f>
        <v>10.06</v>
      </c>
      <c r="AF30" s="2">
        <f aca="true" t="shared" si="57" ref="AF30:AF39">ROUND((EV30),2)</f>
        <v>0</v>
      </c>
      <c r="AG30" s="2">
        <f t="shared" si="34"/>
        <v>0</v>
      </c>
      <c r="AH30" s="2">
        <f aca="true" t="shared" si="58" ref="AH30:AH39">(EW30)</f>
        <v>0</v>
      </c>
      <c r="AI30" s="2">
        <f aca="true" t="shared" si="59" ref="AI30:AI39">(EX30)</f>
        <v>0</v>
      </c>
      <c r="AJ30" s="2">
        <f t="shared" si="35"/>
        <v>0</v>
      </c>
      <c r="AK30" s="2">
        <v>89.99</v>
      </c>
      <c r="AL30" s="2">
        <v>0</v>
      </c>
      <c r="AM30" s="2">
        <v>89.99</v>
      </c>
      <c r="AN30" s="2">
        <v>10.06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147</v>
      </c>
      <c r="AU30" s="2">
        <v>134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2</v>
      </c>
      <c r="BI30" s="2">
        <v>1</v>
      </c>
      <c r="BJ30" s="2" t="s">
        <v>42</v>
      </c>
      <c r="BK30" s="2"/>
      <c r="BL30" s="2"/>
      <c r="BM30" s="2">
        <v>27001</v>
      </c>
      <c r="BN30" s="2">
        <v>0</v>
      </c>
      <c r="BO30" s="2" t="s">
        <v>3</v>
      </c>
      <c r="BP30" s="2">
        <v>0</v>
      </c>
      <c r="BQ30" s="2">
        <v>2</v>
      </c>
      <c r="BR30" s="2">
        <v>1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147</v>
      </c>
      <c r="CA30" s="2">
        <v>134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6"/>
        <v>-38.02</v>
      </c>
      <c r="CQ30" s="2">
        <f t="shared" si="37"/>
        <v>0</v>
      </c>
      <c r="CR30" s="2">
        <f aca="true" t="shared" si="60" ref="CR30:CR39">(((ET30)*BB30-(EU30)*BS30)+AE30*BS30)</f>
        <v>89.99</v>
      </c>
      <c r="CS30" s="2">
        <f t="shared" si="38"/>
        <v>10.06</v>
      </c>
      <c r="CT30" s="2">
        <f t="shared" si="39"/>
        <v>0</v>
      </c>
      <c r="CU30" s="2">
        <f t="shared" si="40"/>
        <v>0</v>
      </c>
      <c r="CV30" s="2">
        <f t="shared" si="41"/>
        <v>0</v>
      </c>
      <c r="CW30" s="2">
        <f t="shared" si="42"/>
        <v>0</v>
      </c>
      <c r="CX30" s="2">
        <f t="shared" si="43"/>
        <v>0</v>
      </c>
      <c r="CY30" s="2">
        <f t="shared" si="44"/>
        <v>-6.2475</v>
      </c>
      <c r="CZ30" s="2">
        <f t="shared" si="45"/>
        <v>-5.695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1011</v>
      </c>
      <c r="DV30" s="2" t="s">
        <v>41</v>
      </c>
      <c r="DW30" s="2" t="s">
        <v>41</v>
      </c>
      <c r="DX30" s="2">
        <v>1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55471715</v>
      </c>
      <c r="EF30" s="2">
        <v>2</v>
      </c>
      <c r="EG30" s="2" t="s">
        <v>31</v>
      </c>
      <c r="EH30" s="2">
        <v>21</v>
      </c>
      <c r="EI30" s="2" t="s">
        <v>32</v>
      </c>
      <c r="EJ30" s="2">
        <v>1</v>
      </c>
      <c r="EK30" s="2">
        <v>27001</v>
      </c>
      <c r="EL30" s="2" t="s">
        <v>32</v>
      </c>
      <c r="EM30" s="2" t="s">
        <v>33</v>
      </c>
      <c r="EN30" s="2"/>
      <c r="EO30" s="2" t="s">
        <v>3</v>
      </c>
      <c r="EP30" s="2"/>
      <c r="EQ30" s="2">
        <v>32768</v>
      </c>
      <c r="ER30" s="2">
        <v>89.99</v>
      </c>
      <c r="ES30" s="2">
        <v>0</v>
      </c>
      <c r="ET30" s="2">
        <v>89.99</v>
      </c>
      <c r="EU30" s="2">
        <v>10.06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6"/>
        <v>0</v>
      </c>
      <c r="FS30" s="2">
        <v>0</v>
      </c>
      <c r="FT30" s="2"/>
      <c r="FU30" s="2"/>
      <c r="FV30" s="2"/>
      <c r="FW30" s="2"/>
      <c r="FX30" s="2">
        <v>147</v>
      </c>
      <c r="FY30" s="2">
        <v>134</v>
      </c>
      <c r="FZ30" s="2"/>
      <c r="GA30" s="2" t="s">
        <v>3</v>
      </c>
      <c r="GB30" s="2"/>
      <c r="GC30" s="2"/>
      <c r="GD30" s="2">
        <v>1</v>
      </c>
      <c r="GE30" s="2"/>
      <c r="GF30" s="2">
        <v>-896236776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7"/>
        <v>0</v>
      </c>
      <c r="GM30" s="2">
        <f t="shared" si="48"/>
        <v>-49.97</v>
      </c>
      <c r="GN30" s="2">
        <f t="shared" si="49"/>
        <v>-49.97</v>
      </c>
      <c r="GO30" s="2">
        <f t="shared" si="50"/>
        <v>0</v>
      </c>
      <c r="GP30" s="2">
        <f t="shared" si="51"/>
        <v>0</v>
      </c>
      <c r="GQ30" s="2"/>
      <c r="GR30" s="2">
        <v>0</v>
      </c>
      <c r="GS30" s="2">
        <v>7</v>
      </c>
      <c r="GT30" s="2">
        <v>0</v>
      </c>
      <c r="GU30" s="2" t="s">
        <v>3</v>
      </c>
      <c r="GV30" s="2">
        <f t="shared" si="52"/>
        <v>0</v>
      </c>
      <c r="GW30" s="2">
        <v>1</v>
      </c>
      <c r="GX30" s="2">
        <f t="shared" si="53"/>
        <v>0</v>
      </c>
      <c r="GY30" s="2"/>
      <c r="GZ30" s="2"/>
      <c r="HA30" s="2">
        <v>0</v>
      </c>
      <c r="HB30" s="2">
        <v>0</v>
      </c>
      <c r="HC30" s="2">
        <f t="shared" si="54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27</v>
      </c>
      <c r="HN30" s="2" t="s">
        <v>35</v>
      </c>
      <c r="HO30" s="2" t="s">
        <v>36</v>
      </c>
      <c r="HP30" s="2" t="s">
        <v>32</v>
      </c>
      <c r="HQ30" s="2" t="s">
        <v>32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18</v>
      </c>
      <c r="B31">
        <v>1</v>
      </c>
      <c r="C31">
        <v>17</v>
      </c>
      <c r="E31" t="s">
        <v>38</v>
      </c>
      <c r="F31" t="s">
        <v>39</v>
      </c>
      <c r="G31" t="s">
        <v>40</v>
      </c>
      <c r="H31" t="s">
        <v>41</v>
      </c>
      <c r="I31">
        <f>I29*J31</f>
        <v>-0.42249999999999993</v>
      </c>
      <c r="J31">
        <v>-0.16249999999999998</v>
      </c>
      <c r="K31">
        <v>-0.13</v>
      </c>
      <c r="O31">
        <f t="shared" si="21"/>
        <v>-497.69</v>
      </c>
      <c r="P31">
        <f t="shared" si="22"/>
        <v>0</v>
      </c>
      <c r="Q31">
        <f t="shared" si="23"/>
        <v>-497.69</v>
      </c>
      <c r="R31">
        <f t="shared" si="24"/>
        <v>-156.71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-230.36</v>
      </c>
      <c r="Y31">
        <f t="shared" si="31"/>
        <v>-209.99</v>
      </c>
      <c r="AA31">
        <v>55468473</v>
      </c>
      <c r="AB31">
        <f t="shared" si="32"/>
        <v>89.99</v>
      </c>
      <c r="AC31">
        <f t="shared" si="33"/>
        <v>0</v>
      </c>
      <c r="AD31">
        <f t="shared" si="55"/>
        <v>89.99</v>
      </c>
      <c r="AE31">
        <f t="shared" si="56"/>
        <v>10.06</v>
      </c>
      <c r="AF31">
        <f t="shared" si="57"/>
        <v>0</v>
      </c>
      <c r="AG31">
        <f t="shared" si="34"/>
        <v>0</v>
      </c>
      <c r="AH31">
        <f t="shared" si="58"/>
        <v>0</v>
      </c>
      <c r="AI31">
        <f t="shared" si="59"/>
        <v>0</v>
      </c>
      <c r="AJ31">
        <f t="shared" si="35"/>
        <v>0</v>
      </c>
      <c r="AK31">
        <v>89.99</v>
      </c>
      <c r="AL31">
        <v>0</v>
      </c>
      <c r="AM31">
        <v>89.99</v>
      </c>
      <c r="AN31">
        <v>10.06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147</v>
      </c>
      <c r="AU31">
        <v>134</v>
      </c>
      <c r="AV31">
        <v>1</v>
      </c>
      <c r="AW31">
        <v>1</v>
      </c>
      <c r="AZ31">
        <v>1</v>
      </c>
      <c r="BA31">
        <v>1</v>
      </c>
      <c r="BB31">
        <v>13.09</v>
      </c>
      <c r="BC31">
        <v>1</v>
      </c>
      <c r="BH31">
        <v>2</v>
      </c>
      <c r="BI31">
        <v>1</v>
      </c>
      <c r="BJ31" t="s">
        <v>42</v>
      </c>
      <c r="BM31">
        <v>27001</v>
      </c>
      <c r="BN31">
        <v>0</v>
      </c>
      <c r="BO31" t="s">
        <v>37</v>
      </c>
      <c r="BP31">
        <v>1</v>
      </c>
      <c r="BQ31">
        <v>2</v>
      </c>
      <c r="BR31">
        <v>1</v>
      </c>
      <c r="BS31">
        <v>36.87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147</v>
      </c>
      <c r="CA31">
        <v>134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6"/>
        <v>-497.69</v>
      </c>
      <c r="CQ31">
        <f t="shared" si="37"/>
        <v>0</v>
      </c>
      <c r="CR31">
        <f t="shared" si="60"/>
        <v>1177.9691</v>
      </c>
      <c r="CS31">
        <f t="shared" si="38"/>
        <v>370.9122</v>
      </c>
      <c r="CT31">
        <f t="shared" si="39"/>
        <v>0</v>
      </c>
      <c r="CU31">
        <f t="shared" si="40"/>
        <v>0</v>
      </c>
      <c r="CV31">
        <f t="shared" si="41"/>
        <v>0</v>
      </c>
      <c r="CW31">
        <f t="shared" si="42"/>
        <v>0</v>
      </c>
      <c r="CX31">
        <f t="shared" si="43"/>
        <v>0</v>
      </c>
      <c r="CY31">
        <f t="shared" si="44"/>
        <v>-230.36370000000002</v>
      </c>
      <c r="CZ31">
        <f t="shared" si="45"/>
        <v>-209.9914</v>
      </c>
      <c r="DN31">
        <v>0</v>
      </c>
      <c r="DO31">
        <v>0</v>
      </c>
      <c r="DP31">
        <v>1</v>
      </c>
      <c r="DQ31">
        <v>1</v>
      </c>
      <c r="DU31">
        <v>1011</v>
      </c>
      <c r="DV31" t="s">
        <v>41</v>
      </c>
      <c r="DW31" t="s">
        <v>41</v>
      </c>
      <c r="DX31">
        <v>1</v>
      </c>
      <c r="EE31">
        <v>55471715</v>
      </c>
      <c r="EF31">
        <v>2</v>
      </c>
      <c r="EG31" t="s">
        <v>31</v>
      </c>
      <c r="EH31">
        <v>21</v>
      </c>
      <c r="EI31" t="s">
        <v>32</v>
      </c>
      <c r="EJ31">
        <v>1</v>
      </c>
      <c r="EK31">
        <v>27001</v>
      </c>
      <c r="EL31" t="s">
        <v>32</v>
      </c>
      <c r="EM31" t="s">
        <v>33</v>
      </c>
      <c r="EQ31">
        <v>32768</v>
      </c>
      <c r="ER31">
        <v>89.99</v>
      </c>
      <c r="ES31">
        <v>0</v>
      </c>
      <c r="ET31">
        <v>89.99</v>
      </c>
      <c r="EU31">
        <v>10.06</v>
      </c>
      <c r="EV31">
        <v>0</v>
      </c>
      <c r="EW31">
        <v>0</v>
      </c>
      <c r="EX31">
        <v>0</v>
      </c>
      <c r="FQ31">
        <v>0</v>
      </c>
      <c r="FR31">
        <f t="shared" si="46"/>
        <v>0</v>
      </c>
      <c r="FS31">
        <v>0</v>
      </c>
      <c r="FX31">
        <v>147</v>
      </c>
      <c r="FY31">
        <v>134</v>
      </c>
      <c r="GD31">
        <v>1</v>
      </c>
      <c r="GF31">
        <v>-896236776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7"/>
        <v>0</v>
      </c>
      <c r="GM31">
        <f t="shared" si="48"/>
        <v>-938.04</v>
      </c>
      <c r="GN31">
        <f t="shared" si="49"/>
        <v>-938.04</v>
      </c>
      <c r="GO31">
        <f t="shared" si="50"/>
        <v>0</v>
      </c>
      <c r="GP31">
        <f t="shared" si="51"/>
        <v>0</v>
      </c>
      <c r="GR31">
        <v>0</v>
      </c>
      <c r="GS31">
        <v>7</v>
      </c>
      <c r="GT31">
        <v>0</v>
      </c>
      <c r="GV31">
        <f t="shared" si="52"/>
        <v>0</v>
      </c>
      <c r="GW31">
        <v>1</v>
      </c>
      <c r="GX31">
        <f t="shared" si="53"/>
        <v>0</v>
      </c>
      <c r="HA31">
        <v>0</v>
      </c>
      <c r="HB31">
        <v>0</v>
      </c>
      <c r="HC31">
        <f t="shared" si="54"/>
        <v>0</v>
      </c>
      <c r="HM31" t="s">
        <v>27</v>
      </c>
      <c r="HN31" t="s">
        <v>35</v>
      </c>
      <c r="HO31" t="s">
        <v>36</v>
      </c>
      <c r="HP31" t="s">
        <v>32</v>
      </c>
      <c r="HQ31" t="s">
        <v>32</v>
      </c>
      <c r="IK31">
        <v>0</v>
      </c>
    </row>
    <row r="32" spans="1:255" ht="12.75">
      <c r="A32" s="2">
        <v>18</v>
      </c>
      <c r="B32" s="2">
        <v>1</v>
      </c>
      <c r="C32" s="2">
        <v>4</v>
      </c>
      <c r="D32" s="2"/>
      <c r="E32" s="2" t="s">
        <v>43</v>
      </c>
      <c r="F32" s="2" t="s">
        <v>44</v>
      </c>
      <c r="G32" s="2" t="s">
        <v>45</v>
      </c>
      <c r="H32" s="2" t="s">
        <v>41</v>
      </c>
      <c r="I32" s="2">
        <f>I28*J32</f>
        <v>-1.9500000000000002</v>
      </c>
      <c r="J32" s="2">
        <v>-0.75</v>
      </c>
      <c r="K32" s="2">
        <v>-0.6</v>
      </c>
      <c r="L32" s="2"/>
      <c r="M32" s="2"/>
      <c r="N32" s="2"/>
      <c r="O32" s="2">
        <f t="shared" si="21"/>
        <v>-58.5</v>
      </c>
      <c r="P32" s="2">
        <f t="shared" si="22"/>
        <v>0</v>
      </c>
      <c r="Q32" s="2">
        <f t="shared" si="23"/>
        <v>-58.5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55468472</v>
      </c>
      <c r="AB32" s="2">
        <f t="shared" si="32"/>
        <v>30</v>
      </c>
      <c r="AC32" s="2">
        <f t="shared" si="33"/>
        <v>0</v>
      </c>
      <c r="AD32" s="2">
        <f t="shared" si="55"/>
        <v>30</v>
      </c>
      <c r="AE32" s="2">
        <f t="shared" si="56"/>
        <v>0</v>
      </c>
      <c r="AF32" s="2">
        <f t="shared" si="57"/>
        <v>0</v>
      </c>
      <c r="AG32" s="2">
        <f t="shared" si="34"/>
        <v>0</v>
      </c>
      <c r="AH32" s="2">
        <f t="shared" si="58"/>
        <v>0</v>
      </c>
      <c r="AI32" s="2">
        <f t="shared" si="59"/>
        <v>0</v>
      </c>
      <c r="AJ32" s="2">
        <f t="shared" si="35"/>
        <v>0</v>
      </c>
      <c r="AK32" s="2">
        <v>30</v>
      </c>
      <c r="AL32" s="2">
        <v>0</v>
      </c>
      <c r="AM32" s="2">
        <v>30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147</v>
      </c>
      <c r="AU32" s="2">
        <v>134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2</v>
      </c>
      <c r="BI32" s="2">
        <v>1</v>
      </c>
      <c r="BJ32" s="2" t="s">
        <v>46</v>
      </c>
      <c r="BK32" s="2"/>
      <c r="BL32" s="2"/>
      <c r="BM32" s="2">
        <v>27001</v>
      </c>
      <c r="BN32" s="2">
        <v>0</v>
      </c>
      <c r="BO32" s="2" t="s">
        <v>3</v>
      </c>
      <c r="BP32" s="2">
        <v>0</v>
      </c>
      <c r="BQ32" s="2">
        <v>2</v>
      </c>
      <c r="BR32" s="2">
        <v>1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147</v>
      </c>
      <c r="CA32" s="2">
        <v>134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6"/>
        <v>-58.5</v>
      </c>
      <c r="CQ32" s="2">
        <f t="shared" si="37"/>
        <v>0</v>
      </c>
      <c r="CR32" s="2">
        <f t="shared" si="60"/>
        <v>30</v>
      </c>
      <c r="CS32" s="2">
        <f t="shared" si="38"/>
        <v>0</v>
      </c>
      <c r="CT32" s="2">
        <f t="shared" si="39"/>
        <v>0</v>
      </c>
      <c r="CU32" s="2">
        <f t="shared" si="40"/>
        <v>0</v>
      </c>
      <c r="CV32" s="2">
        <f t="shared" si="41"/>
        <v>0</v>
      </c>
      <c r="CW32" s="2">
        <f t="shared" si="42"/>
        <v>0</v>
      </c>
      <c r="CX32" s="2">
        <f t="shared" si="43"/>
        <v>0</v>
      </c>
      <c r="CY32" s="2">
        <f t="shared" si="44"/>
        <v>0</v>
      </c>
      <c r="CZ32" s="2">
        <f t="shared" si="45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1011</v>
      </c>
      <c r="DV32" s="2" t="s">
        <v>41</v>
      </c>
      <c r="DW32" s="2" t="s">
        <v>41</v>
      </c>
      <c r="DX32" s="2">
        <v>1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55471715</v>
      </c>
      <c r="EF32" s="2">
        <v>2</v>
      </c>
      <c r="EG32" s="2" t="s">
        <v>31</v>
      </c>
      <c r="EH32" s="2">
        <v>21</v>
      </c>
      <c r="EI32" s="2" t="s">
        <v>32</v>
      </c>
      <c r="EJ32" s="2">
        <v>1</v>
      </c>
      <c r="EK32" s="2">
        <v>27001</v>
      </c>
      <c r="EL32" s="2" t="s">
        <v>32</v>
      </c>
      <c r="EM32" s="2" t="s">
        <v>33</v>
      </c>
      <c r="EN32" s="2"/>
      <c r="EO32" s="2" t="s">
        <v>3</v>
      </c>
      <c r="EP32" s="2"/>
      <c r="EQ32" s="2">
        <v>32768</v>
      </c>
      <c r="ER32" s="2">
        <v>30</v>
      </c>
      <c r="ES32" s="2">
        <v>0</v>
      </c>
      <c r="ET32" s="2">
        <v>30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6"/>
        <v>0</v>
      </c>
      <c r="FS32" s="2">
        <v>0</v>
      </c>
      <c r="FT32" s="2"/>
      <c r="FU32" s="2"/>
      <c r="FV32" s="2"/>
      <c r="FW32" s="2"/>
      <c r="FX32" s="2">
        <v>147</v>
      </c>
      <c r="FY32" s="2">
        <v>134</v>
      </c>
      <c r="FZ32" s="2"/>
      <c r="GA32" s="2" t="s">
        <v>3</v>
      </c>
      <c r="GB32" s="2"/>
      <c r="GC32" s="2"/>
      <c r="GD32" s="2">
        <v>1</v>
      </c>
      <c r="GE32" s="2"/>
      <c r="GF32" s="2">
        <v>-1193409272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7"/>
        <v>0</v>
      </c>
      <c r="GM32" s="2">
        <f t="shared" si="48"/>
        <v>-58.5</v>
      </c>
      <c r="GN32" s="2">
        <f t="shared" si="49"/>
        <v>-58.5</v>
      </c>
      <c r="GO32" s="2">
        <f t="shared" si="50"/>
        <v>0</v>
      </c>
      <c r="GP32" s="2">
        <f t="shared" si="51"/>
        <v>0</v>
      </c>
      <c r="GQ32" s="2"/>
      <c r="GR32" s="2">
        <v>0</v>
      </c>
      <c r="GS32" s="2">
        <v>7</v>
      </c>
      <c r="GT32" s="2">
        <v>0</v>
      </c>
      <c r="GU32" s="2" t="s">
        <v>3</v>
      </c>
      <c r="GV32" s="2">
        <f t="shared" si="52"/>
        <v>0</v>
      </c>
      <c r="GW32" s="2">
        <v>1</v>
      </c>
      <c r="GX32" s="2">
        <f t="shared" si="53"/>
        <v>0</v>
      </c>
      <c r="GY32" s="2"/>
      <c r="GZ32" s="2"/>
      <c r="HA32" s="2">
        <v>0</v>
      </c>
      <c r="HB32" s="2">
        <v>0</v>
      </c>
      <c r="HC32" s="2">
        <f t="shared" si="54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27</v>
      </c>
      <c r="HN32" s="2" t="s">
        <v>35</v>
      </c>
      <c r="HO32" s="2" t="s">
        <v>36</v>
      </c>
      <c r="HP32" s="2" t="s">
        <v>32</v>
      </c>
      <c r="HQ32" s="2" t="s">
        <v>32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18</v>
      </c>
      <c r="E33" t="s">
        <v>43</v>
      </c>
      <c r="F33" t="s">
        <v>44</v>
      </c>
      <c r="G33" t="s">
        <v>45</v>
      </c>
      <c r="H33" t="s">
        <v>41</v>
      </c>
      <c r="I33">
        <f>I29*J33</f>
        <v>-1.9500000000000002</v>
      </c>
      <c r="J33">
        <v>-0.75</v>
      </c>
      <c r="K33">
        <v>-0.6</v>
      </c>
      <c r="O33">
        <f t="shared" si="21"/>
        <v>-765.77</v>
      </c>
      <c r="P33">
        <f t="shared" si="22"/>
        <v>0</v>
      </c>
      <c r="Q33">
        <f t="shared" si="23"/>
        <v>-765.77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55468473</v>
      </c>
      <c r="AB33">
        <f t="shared" si="32"/>
        <v>30</v>
      </c>
      <c r="AC33">
        <f t="shared" si="33"/>
        <v>0</v>
      </c>
      <c r="AD33">
        <f t="shared" si="55"/>
        <v>30</v>
      </c>
      <c r="AE33">
        <f t="shared" si="56"/>
        <v>0</v>
      </c>
      <c r="AF33">
        <f t="shared" si="57"/>
        <v>0</v>
      </c>
      <c r="AG33">
        <f t="shared" si="34"/>
        <v>0</v>
      </c>
      <c r="AH33">
        <f t="shared" si="58"/>
        <v>0</v>
      </c>
      <c r="AI33">
        <f t="shared" si="59"/>
        <v>0</v>
      </c>
      <c r="AJ33">
        <f t="shared" si="35"/>
        <v>0</v>
      </c>
      <c r="AK33">
        <v>30</v>
      </c>
      <c r="AL33">
        <v>0</v>
      </c>
      <c r="AM33">
        <v>30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147</v>
      </c>
      <c r="AU33">
        <v>134</v>
      </c>
      <c r="AV33">
        <v>1</v>
      </c>
      <c r="AW33">
        <v>1</v>
      </c>
      <c r="AZ33">
        <v>1</v>
      </c>
      <c r="BA33">
        <v>1</v>
      </c>
      <c r="BB33">
        <v>13.09</v>
      </c>
      <c r="BC33">
        <v>1</v>
      </c>
      <c r="BH33">
        <v>2</v>
      </c>
      <c r="BI33">
        <v>1</v>
      </c>
      <c r="BJ33" t="s">
        <v>46</v>
      </c>
      <c r="BM33">
        <v>27001</v>
      </c>
      <c r="BN33">
        <v>0</v>
      </c>
      <c r="BO33" t="s">
        <v>37</v>
      </c>
      <c r="BP33">
        <v>1</v>
      </c>
      <c r="BQ33">
        <v>2</v>
      </c>
      <c r="BR33">
        <v>1</v>
      </c>
      <c r="BS33">
        <v>36.87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147</v>
      </c>
      <c r="CA33">
        <v>134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36"/>
        <v>-765.77</v>
      </c>
      <c r="CQ33">
        <f t="shared" si="37"/>
        <v>0</v>
      </c>
      <c r="CR33">
        <f t="shared" si="60"/>
        <v>392.7</v>
      </c>
      <c r="CS33">
        <f t="shared" si="38"/>
        <v>0</v>
      </c>
      <c r="CT33">
        <f t="shared" si="39"/>
        <v>0</v>
      </c>
      <c r="CU33">
        <f t="shared" si="40"/>
        <v>0</v>
      </c>
      <c r="CV33">
        <f t="shared" si="41"/>
        <v>0</v>
      </c>
      <c r="CW33">
        <f t="shared" si="42"/>
        <v>0</v>
      </c>
      <c r="CX33">
        <f t="shared" si="43"/>
        <v>0</v>
      </c>
      <c r="CY33">
        <f t="shared" si="44"/>
        <v>0</v>
      </c>
      <c r="CZ33">
        <f t="shared" si="45"/>
        <v>0</v>
      </c>
      <c r="DN33">
        <v>0</v>
      </c>
      <c r="DO33">
        <v>0</v>
      </c>
      <c r="DP33">
        <v>1</v>
      </c>
      <c r="DQ33">
        <v>1</v>
      </c>
      <c r="DU33">
        <v>1011</v>
      </c>
      <c r="DV33" t="s">
        <v>41</v>
      </c>
      <c r="DW33" t="s">
        <v>41</v>
      </c>
      <c r="DX33">
        <v>1</v>
      </c>
      <c r="EE33">
        <v>55471715</v>
      </c>
      <c r="EF33">
        <v>2</v>
      </c>
      <c r="EG33" t="s">
        <v>31</v>
      </c>
      <c r="EH33">
        <v>21</v>
      </c>
      <c r="EI33" t="s">
        <v>32</v>
      </c>
      <c r="EJ33">
        <v>1</v>
      </c>
      <c r="EK33">
        <v>27001</v>
      </c>
      <c r="EL33" t="s">
        <v>32</v>
      </c>
      <c r="EM33" t="s">
        <v>33</v>
      </c>
      <c r="EQ33">
        <v>32768</v>
      </c>
      <c r="ER33">
        <v>30</v>
      </c>
      <c r="ES33">
        <v>0</v>
      </c>
      <c r="ET33">
        <v>30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6"/>
        <v>0</v>
      </c>
      <c r="FS33">
        <v>0</v>
      </c>
      <c r="FX33">
        <v>147</v>
      </c>
      <c r="FY33">
        <v>134</v>
      </c>
      <c r="GD33">
        <v>1</v>
      </c>
      <c r="GF33">
        <v>-1193409272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7"/>
        <v>0</v>
      </c>
      <c r="GM33">
        <f t="shared" si="48"/>
        <v>-765.77</v>
      </c>
      <c r="GN33">
        <f t="shared" si="49"/>
        <v>-765.77</v>
      </c>
      <c r="GO33">
        <f t="shared" si="50"/>
        <v>0</v>
      </c>
      <c r="GP33">
        <f t="shared" si="51"/>
        <v>0</v>
      </c>
      <c r="GR33">
        <v>0</v>
      </c>
      <c r="GS33">
        <v>7</v>
      </c>
      <c r="GT33">
        <v>0</v>
      </c>
      <c r="GV33">
        <f t="shared" si="52"/>
        <v>0</v>
      </c>
      <c r="GW33">
        <v>1</v>
      </c>
      <c r="GX33">
        <f t="shared" si="53"/>
        <v>0</v>
      </c>
      <c r="HA33">
        <v>0</v>
      </c>
      <c r="HB33">
        <v>0</v>
      </c>
      <c r="HC33">
        <f t="shared" si="54"/>
        <v>0</v>
      </c>
      <c r="HM33" t="s">
        <v>27</v>
      </c>
      <c r="HN33" t="s">
        <v>35</v>
      </c>
      <c r="HO33" t="s">
        <v>36</v>
      </c>
      <c r="HP33" t="s">
        <v>32</v>
      </c>
      <c r="HQ33" t="s">
        <v>32</v>
      </c>
      <c r="IK33">
        <v>0</v>
      </c>
    </row>
    <row r="34" spans="1:255" ht="12.75">
      <c r="A34" s="2">
        <v>18</v>
      </c>
      <c r="B34" s="2">
        <v>1</v>
      </c>
      <c r="C34" s="2">
        <v>9</v>
      </c>
      <c r="D34" s="2"/>
      <c r="E34" s="2" t="s">
        <v>47</v>
      </c>
      <c r="F34" s="2" t="s">
        <v>48</v>
      </c>
      <c r="G34" s="2" t="s">
        <v>49</v>
      </c>
      <c r="H34" s="2" t="s">
        <v>41</v>
      </c>
      <c r="I34" s="2">
        <f>I28*J34</f>
        <v>-0.6175</v>
      </c>
      <c r="J34" s="2">
        <v>-0.23750000000000002</v>
      </c>
      <c r="K34" s="2">
        <v>-0.19</v>
      </c>
      <c r="L34" s="2"/>
      <c r="M34" s="2"/>
      <c r="N34" s="2"/>
      <c r="O34" s="2">
        <f t="shared" si="21"/>
        <v>-55.58</v>
      </c>
      <c r="P34" s="2">
        <f t="shared" si="22"/>
        <v>0</v>
      </c>
      <c r="Q34" s="2">
        <f t="shared" si="23"/>
        <v>-55.58</v>
      </c>
      <c r="R34" s="2">
        <f t="shared" si="24"/>
        <v>-6.21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-9.13</v>
      </c>
      <c r="Y34" s="2">
        <f t="shared" si="31"/>
        <v>-8.32</v>
      </c>
      <c r="Z34" s="2"/>
      <c r="AA34" s="2">
        <v>55468472</v>
      </c>
      <c r="AB34" s="2">
        <f t="shared" si="32"/>
        <v>90</v>
      </c>
      <c r="AC34" s="2">
        <f t="shared" si="33"/>
        <v>0</v>
      </c>
      <c r="AD34" s="2">
        <f t="shared" si="55"/>
        <v>90</v>
      </c>
      <c r="AE34" s="2">
        <f t="shared" si="56"/>
        <v>10.06</v>
      </c>
      <c r="AF34" s="2">
        <f t="shared" si="57"/>
        <v>0</v>
      </c>
      <c r="AG34" s="2">
        <f t="shared" si="34"/>
        <v>0</v>
      </c>
      <c r="AH34" s="2">
        <f t="shared" si="58"/>
        <v>0</v>
      </c>
      <c r="AI34" s="2">
        <f t="shared" si="59"/>
        <v>0</v>
      </c>
      <c r="AJ34" s="2">
        <f t="shared" si="35"/>
        <v>0</v>
      </c>
      <c r="AK34" s="2">
        <v>90</v>
      </c>
      <c r="AL34" s="2">
        <v>0</v>
      </c>
      <c r="AM34" s="2">
        <v>90</v>
      </c>
      <c r="AN34" s="2">
        <v>10.06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147</v>
      </c>
      <c r="AU34" s="2">
        <v>134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2</v>
      </c>
      <c r="BI34" s="2">
        <v>1</v>
      </c>
      <c r="BJ34" s="2" t="s">
        <v>50</v>
      </c>
      <c r="BK34" s="2"/>
      <c r="BL34" s="2"/>
      <c r="BM34" s="2">
        <v>27001</v>
      </c>
      <c r="BN34" s="2">
        <v>0</v>
      </c>
      <c r="BO34" s="2" t="s">
        <v>3</v>
      </c>
      <c r="BP34" s="2">
        <v>0</v>
      </c>
      <c r="BQ34" s="2">
        <v>2</v>
      </c>
      <c r="BR34" s="2">
        <v>1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147</v>
      </c>
      <c r="CA34" s="2">
        <v>134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6"/>
        <v>-55.58</v>
      </c>
      <c r="CQ34" s="2">
        <f t="shared" si="37"/>
        <v>0</v>
      </c>
      <c r="CR34" s="2">
        <f t="shared" si="60"/>
        <v>90</v>
      </c>
      <c r="CS34" s="2">
        <f t="shared" si="38"/>
        <v>10.06</v>
      </c>
      <c r="CT34" s="2">
        <f t="shared" si="39"/>
        <v>0</v>
      </c>
      <c r="CU34" s="2">
        <f t="shared" si="40"/>
        <v>0</v>
      </c>
      <c r="CV34" s="2">
        <f t="shared" si="41"/>
        <v>0</v>
      </c>
      <c r="CW34" s="2">
        <f t="shared" si="42"/>
        <v>0</v>
      </c>
      <c r="CX34" s="2">
        <f t="shared" si="43"/>
        <v>0</v>
      </c>
      <c r="CY34" s="2">
        <f t="shared" si="44"/>
        <v>-9.1287</v>
      </c>
      <c r="CZ34" s="2">
        <f t="shared" si="45"/>
        <v>-8.3214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1011</v>
      </c>
      <c r="DV34" s="2" t="s">
        <v>41</v>
      </c>
      <c r="DW34" s="2" t="s">
        <v>41</v>
      </c>
      <c r="DX34" s="2">
        <v>1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55471715</v>
      </c>
      <c r="EF34" s="2">
        <v>2</v>
      </c>
      <c r="EG34" s="2" t="s">
        <v>31</v>
      </c>
      <c r="EH34" s="2">
        <v>21</v>
      </c>
      <c r="EI34" s="2" t="s">
        <v>32</v>
      </c>
      <c r="EJ34" s="2">
        <v>1</v>
      </c>
      <c r="EK34" s="2">
        <v>27001</v>
      </c>
      <c r="EL34" s="2" t="s">
        <v>32</v>
      </c>
      <c r="EM34" s="2" t="s">
        <v>33</v>
      </c>
      <c r="EN34" s="2"/>
      <c r="EO34" s="2" t="s">
        <v>3</v>
      </c>
      <c r="EP34" s="2"/>
      <c r="EQ34" s="2">
        <v>32768</v>
      </c>
      <c r="ER34" s="2">
        <v>90</v>
      </c>
      <c r="ES34" s="2">
        <v>0</v>
      </c>
      <c r="ET34" s="2">
        <v>90</v>
      </c>
      <c r="EU34" s="2">
        <v>10.06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6"/>
        <v>0</v>
      </c>
      <c r="FS34" s="2">
        <v>0</v>
      </c>
      <c r="FT34" s="2"/>
      <c r="FU34" s="2"/>
      <c r="FV34" s="2"/>
      <c r="FW34" s="2"/>
      <c r="FX34" s="2">
        <v>147</v>
      </c>
      <c r="FY34" s="2">
        <v>134</v>
      </c>
      <c r="FZ34" s="2"/>
      <c r="GA34" s="2" t="s">
        <v>3</v>
      </c>
      <c r="GB34" s="2"/>
      <c r="GC34" s="2"/>
      <c r="GD34" s="2">
        <v>1</v>
      </c>
      <c r="GE34" s="2"/>
      <c r="GF34" s="2">
        <v>-1111507504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7"/>
        <v>0</v>
      </c>
      <c r="GM34" s="2">
        <f t="shared" si="48"/>
        <v>-73.03</v>
      </c>
      <c r="GN34" s="2">
        <f t="shared" si="49"/>
        <v>-73.03</v>
      </c>
      <c r="GO34" s="2">
        <f t="shared" si="50"/>
        <v>0</v>
      </c>
      <c r="GP34" s="2">
        <f t="shared" si="51"/>
        <v>0</v>
      </c>
      <c r="GQ34" s="2"/>
      <c r="GR34" s="2">
        <v>0</v>
      </c>
      <c r="GS34" s="2">
        <v>7</v>
      </c>
      <c r="GT34" s="2">
        <v>0</v>
      </c>
      <c r="GU34" s="2" t="s">
        <v>3</v>
      </c>
      <c r="GV34" s="2">
        <f t="shared" si="52"/>
        <v>0</v>
      </c>
      <c r="GW34" s="2">
        <v>1</v>
      </c>
      <c r="GX34" s="2">
        <f t="shared" si="53"/>
        <v>0</v>
      </c>
      <c r="GY34" s="2"/>
      <c r="GZ34" s="2"/>
      <c r="HA34" s="2">
        <v>0</v>
      </c>
      <c r="HB34" s="2">
        <v>0</v>
      </c>
      <c r="HC34" s="2">
        <f t="shared" si="54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27</v>
      </c>
      <c r="HN34" s="2" t="s">
        <v>35</v>
      </c>
      <c r="HO34" s="2" t="s">
        <v>36</v>
      </c>
      <c r="HP34" s="2" t="s">
        <v>32</v>
      </c>
      <c r="HQ34" s="2" t="s">
        <v>32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23</v>
      </c>
      <c r="E35" t="s">
        <v>47</v>
      </c>
      <c r="F35" t="s">
        <v>48</v>
      </c>
      <c r="G35" t="s">
        <v>49</v>
      </c>
      <c r="H35" t="s">
        <v>41</v>
      </c>
      <c r="I35">
        <f>I29*J35</f>
        <v>-0.6175</v>
      </c>
      <c r="J35">
        <v>-0.23750000000000002</v>
      </c>
      <c r="K35">
        <v>-0.19</v>
      </c>
      <c r="O35">
        <f t="shared" si="21"/>
        <v>-727.48</v>
      </c>
      <c r="P35">
        <f t="shared" si="22"/>
        <v>0</v>
      </c>
      <c r="Q35">
        <f t="shared" si="23"/>
        <v>-727.48</v>
      </c>
      <c r="R35">
        <f t="shared" si="24"/>
        <v>-229.04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-336.69</v>
      </c>
      <c r="Y35">
        <f t="shared" si="31"/>
        <v>-306.91</v>
      </c>
      <c r="AA35">
        <v>55468473</v>
      </c>
      <c r="AB35">
        <f t="shared" si="32"/>
        <v>90</v>
      </c>
      <c r="AC35">
        <f t="shared" si="33"/>
        <v>0</v>
      </c>
      <c r="AD35">
        <f t="shared" si="55"/>
        <v>90</v>
      </c>
      <c r="AE35">
        <f t="shared" si="56"/>
        <v>10.06</v>
      </c>
      <c r="AF35">
        <f t="shared" si="57"/>
        <v>0</v>
      </c>
      <c r="AG35">
        <f t="shared" si="34"/>
        <v>0</v>
      </c>
      <c r="AH35">
        <f t="shared" si="58"/>
        <v>0</v>
      </c>
      <c r="AI35">
        <f t="shared" si="59"/>
        <v>0</v>
      </c>
      <c r="AJ35">
        <f t="shared" si="35"/>
        <v>0</v>
      </c>
      <c r="AK35">
        <v>90</v>
      </c>
      <c r="AL35">
        <v>0</v>
      </c>
      <c r="AM35">
        <v>90</v>
      </c>
      <c r="AN35">
        <v>10.06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147</v>
      </c>
      <c r="AU35">
        <v>134</v>
      </c>
      <c r="AV35">
        <v>1</v>
      </c>
      <c r="AW35">
        <v>1</v>
      </c>
      <c r="AZ35">
        <v>1</v>
      </c>
      <c r="BA35">
        <v>1</v>
      </c>
      <c r="BB35">
        <v>13.09</v>
      </c>
      <c r="BC35">
        <v>1</v>
      </c>
      <c r="BH35">
        <v>2</v>
      </c>
      <c r="BI35">
        <v>1</v>
      </c>
      <c r="BJ35" t="s">
        <v>50</v>
      </c>
      <c r="BM35">
        <v>27001</v>
      </c>
      <c r="BN35">
        <v>0</v>
      </c>
      <c r="BO35" t="s">
        <v>37</v>
      </c>
      <c r="BP35">
        <v>1</v>
      </c>
      <c r="BQ35">
        <v>2</v>
      </c>
      <c r="BR35">
        <v>1</v>
      </c>
      <c r="BS35">
        <v>36.87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147</v>
      </c>
      <c r="CA35">
        <v>134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6"/>
        <v>-727.48</v>
      </c>
      <c r="CQ35">
        <f t="shared" si="37"/>
        <v>0</v>
      </c>
      <c r="CR35">
        <f t="shared" si="60"/>
        <v>1178.1</v>
      </c>
      <c r="CS35">
        <f t="shared" si="38"/>
        <v>370.9122</v>
      </c>
      <c r="CT35">
        <f t="shared" si="39"/>
        <v>0</v>
      </c>
      <c r="CU35">
        <f t="shared" si="40"/>
        <v>0</v>
      </c>
      <c r="CV35">
        <f t="shared" si="41"/>
        <v>0</v>
      </c>
      <c r="CW35">
        <f t="shared" si="42"/>
        <v>0</v>
      </c>
      <c r="CX35">
        <f t="shared" si="43"/>
        <v>0</v>
      </c>
      <c r="CY35">
        <f t="shared" si="44"/>
        <v>-336.68879999999996</v>
      </c>
      <c r="CZ35">
        <f t="shared" si="45"/>
        <v>-306.91360000000003</v>
      </c>
      <c r="DN35">
        <v>0</v>
      </c>
      <c r="DO35">
        <v>0</v>
      </c>
      <c r="DP35">
        <v>1</v>
      </c>
      <c r="DQ35">
        <v>1</v>
      </c>
      <c r="DU35">
        <v>1011</v>
      </c>
      <c r="DV35" t="s">
        <v>41</v>
      </c>
      <c r="DW35" t="s">
        <v>41</v>
      </c>
      <c r="DX35">
        <v>1</v>
      </c>
      <c r="EE35">
        <v>55471715</v>
      </c>
      <c r="EF35">
        <v>2</v>
      </c>
      <c r="EG35" t="s">
        <v>31</v>
      </c>
      <c r="EH35">
        <v>21</v>
      </c>
      <c r="EI35" t="s">
        <v>32</v>
      </c>
      <c r="EJ35">
        <v>1</v>
      </c>
      <c r="EK35">
        <v>27001</v>
      </c>
      <c r="EL35" t="s">
        <v>32</v>
      </c>
      <c r="EM35" t="s">
        <v>33</v>
      </c>
      <c r="EQ35">
        <v>32768</v>
      </c>
      <c r="ER35">
        <v>90</v>
      </c>
      <c r="ES35">
        <v>0</v>
      </c>
      <c r="ET35">
        <v>90</v>
      </c>
      <c r="EU35">
        <v>10.06</v>
      </c>
      <c r="EV35">
        <v>0</v>
      </c>
      <c r="EW35">
        <v>0</v>
      </c>
      <c r="EX35">
        <v>0</v>
      </c>
      <c r="FQ35">
        <v>0</v>
      </c>
      <c r="FR35">
        <f t="shared" si="46"/>
        <v>0</v>
      </c>
      <c r="FS35">
        <v>0</v>
      </c>
      <c r="FX35">
        <v>147</v>
      </c>
      <c r="FY35">
        <v>134</v>
      </c>
      <c r="GD35">
        <v>1</v>
      </c>
      <c r="GF35">
        <v>-1111507504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7"/>
        <v>0</v>
      </c>
      <c r="GM35">
        <f t="shared" si="48"/>
        <v>-1371.08</v>
      </c>
      <c r="GN35">
        <f t="shared" si="49"/>
        <v>-1371.08</v>
      </c>
      <c r="GO35">
        <f t="shared" si="50"/>
        <v>0</v>
      </c>
      <c r="GP35">
        <f t="shared" si="51"/>
        <v>0</v>
      </c>
      <c r="GR35">
        <v>0</v>
      </c>
      <c r="GS35">
        <v>7</v>
      </c>
      <c r="GT35">
        <v>0</v>
      </c>
      <c r="GV35">
        <f t="shared" si="52"/>
        <v>0</v>
      </c>
      <c r="GW35">
        <v>1</v>
      </c>
      <c r="GX35">
        <f t="shared" si="53"/>
        <v>0</v>
      </c>
      <c r="HA35">
        <v>0</v>
      </c>
      <c r="HB35">
        <v>0</v>
      </c>
      <c r="HC35">
        <f t="shared" si="54"/>
        <v>0</v>
      </c>
      <c r="HM35" t="s">
        <v>27</v>
      </c>
      <c r="HN35" t="s">
        <v>35</v>
      </c>
      <c r="HO35" t="s">
        <v>36</v>
      </c>
      <c r="HP35" t="s">
        <v>32</v>
      </c>
      <c r="HQ35" t="s">
        <v>32</v>
      </c>
      <c r="IK35">
        <v>0</v>
      </c>
    </row>
    <row r="36" spans="1:255" ht="12.75">
      <c r="A36" s="2">
        <v>17</v>
      </c>
      <c r="B36" s="2">
        <v>1</v>
      </c>
      <c r="C36" s="2">
        <f>ROW(SmtRes!A32)</f>
        <v>32</v>
      </c>
      <c r="D36" s="2">
        <f>ROW(EtalonRes!A32)</f>
        <v>32</v>
      </c>
      <c r="E36" s="2" t="s">
        <v>51</v>
      </c>
      <c r="F36" s="2" t="s">
        <v>52</v>
      </c>
      <c r="G36" s="2" t="s">
        <v>53</v>
      </c>
      <c r="H36" s="2" t="s">
        <v>25</v>
      </c>
      <c r="I36" s="2">
        <f>ROUND(137/100,7)</f>
        <v>1.37</v>
      </c>
      <c r="J36" s="2">
        <v>0</v>
      </c>
      <c r="K36" s="2">
        <f>ROUND(137/100,7)</f>
        <v>1.37</v>
      </c>
      <c r="L36" s="2"/>
      <c r="M36" s="2"/>
      <c r="N36" s="2"/>
      <c r="O36" s="2">
        <f t="shared" si="21"/>
        <v>2026.12</v>
      </c>
      <c r="P36" s="2">
        <f t="shared" si="22"/>
        <v>0</v>
      </c>
      <c r="Q36" s="2">
        <f t="shared" si="23"/>
        <v>1218.14</v>
      </c>
      <c r="R36" s="2">
        <f t="shared" si="24"/>
        <v>129.55</v>
      </c>
      <c r="S36" s="2">
        <f t="shared" si="25"/>
        <v>807.98</v>
      </c>
      <c r="T36" s="2">
        <f t="shared" si="26"/>
        <v>0</v>
      </c>
      <c r="U36" s="2">
        <f t="shared" si="27"/>
        <v>93.51620000000001</v>
      </c>
      <c r="V36" s="2">
        <f t="shared" si="28"/>
        <v>12.878000000000002</v>
      </c>
      <c r="W36" s="2">
        <f t="shared" si="29"/>
        <v>0</v>
      </c>
      <c r="X36" s="2">
        <f t="shared" si="30"/>
        <v>956.28</v>
      </c>
      <c r="Y36" s="2">
        <f t="shared" si="31"/>
        <v>506.27</v>
      </c>
      <c r="Z36" s="2"/>
      <c r="AA36" s="2">
        <v>55468472</v>
      </c>
      <c r="AB36" s="2">
        <f t="shared" si="32"/>
        <v>1478.92</v>
      </c>
      <c r="AC36" s="2">
        <f t="shared" si="33"/>
        <v>0</v>
      </c>
      <c r="AD36" s="2">
        <f t="shared" si="55"/>
        <v>889.15</v>
      </c>
      <c r="AE36" s="2">
        <f t="shared" si="56"/>
        <v>94.56</v>
      </c>
      <c r="AF36" s="2">
        <f t="shared" si="57"/>
        <v>589.77</v>
      </c>
      <c r="AG36" s="2">
        <f t="shared" si="34"/>
        <v>0</v>
      </c>
      <c r="AH36" s="2">
        <f t="shared" si="58"/>
        <v>68.26</v>
      </c>
      <c r="AI36" s="2">
        <f t="shared" si="59"/>
        <v>9.4</v>
      </c>
      <c r="AJ36" s="2">
        <f t="shared" si="35"/>
        <v>0</v>
      </c>
      <c r="AK36" s="2">
        <v>1478.92</v>
      </c>
      <c r="AL36" s="2">
        <v>0</v>
      </c>
      <c r="AM36" s="2">
        <v>889.15</v>
      </c>
      <c r="AN36" s="2">
        <v>94.56</v>
      </c>
      <c r="AO36" s="2">
        <v>589.77</v>
      </c>
      <c r="AP36" s="2">
        <v>0</v>
      </c>
      <c r="AQ36" s="2">
        <v>68.26</v>
      </c>
      <c r="AR36" s="2">
        <v>9.4</v>
      </c>
      <c r="AS36" s="2">
        <v>0</v>
      </c>
      <c r="AT36" s="2">
        <v>102</v>
      </c>
      <c r="AU36" s="2">
        <v>54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54</v>
      </c>
      <c r="BK36" s="2"/>
      <c r="BL36" s="2"/>
      <c r="BM36" s="2">
        <v>68001</v>
      </c>
      <c r="BN36" s="2">
        <v>0</v>
      </c>
      <c r="BO36" s="2" t="s">
        <v>3</v>
      </c>
      <c r="BP36" s="2">
        <v>0</v>
      </c>
      <c r="BQ36" s="2">
        <v>6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102</v>
      </c>
      <c r="CA36" s="2">
        <v>54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6"/>
        <v>2026.1200000000001</v>
      </c>
      <c r="CQ36" s="2">
        <f t="shared" si="37"/>
        <v>0</v>
      </c>
      <c r="CR36" s="2">
        <f t="shared" si="60"/>
        <v>889.1499999999999</v>
      </c>
      <c r="CS36" s="2">
        <f t="shared" si="38"/>
        <v>94.56</v>
      </c>
      <c r="CT36" s="2">
        <f t="shared" si="39"/>
        <v>589.77</v>
      </c>
      <c r="CU36" s="2">
        <f t="shared" si="40"/>
        <v>0</v>
      </c>
      <c r="CV36" s="2">
        <f t="shared" si="41"/>
        <v>68.26</v>
      </c>
      <c r="CW36" s="2">
        <f t="shared" si="42"/>
        <v>9.4</v>
      </c>
      <c r="CX36" s="2">
        <f t="shared" si="43"/>
        <v>0</v>
      </c>
      <c r="CY36" s="2">
        <f t="shared" si="44"/>
        <v>956.2805999999999</v>
      </c>
      <c r="CZ36" s="2">
        <f t="shared" si="45"/>
        <v>506.26619999999997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25</v>
      </c>
      <c r="DW36" s="2" t="s">
        <v>25</v>
      </c>
      <c r="DX36" s="2">
        <v>100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55471846</v>
      </c>
      <c r="EF36" s="2">
        <v>6</v>
      </c>
      <c r="EG36" s="2" t="s">
        <v>55</v>
      </c>
      <c r="EH36" s="2">
        <v>102</v>
      </c>
      <c r="EI36" s="2" t="s">
        <v>56</v>
      </c>
      <c r="EJ36" s="2">
        <v>1</v>
      </c>
      <c r="EK36" s="2">
        <v>68001</v>
      </c>
      <c r="EL36" s="2" t="s">
        <v>56</v>
      </c>
      <c r="EM36" s="2" t="s">
        <v>57</v>
      </c>
      <c r="EN36" s="2"/>
      <c r="EO36" s="2" t="s">
        <v>3</v>
      </c>
      <c r="EP36" s="2"/>
      <c r="EQ36" s="2">
        <v>0</v>
      </c>
      <c r="ER36" s="2">
        <v>1478.92</v>
      </c>
      <c r="ES36" s="2">
        <v>0</v>
      </c>
      <c r="ET36" s="2">
        <v>889.15</v>
      </c>
      <c r="EU36" s="2">
        <v>94.56</v>
      </c>
      <c r="EV36" s="2">
        <v>589.77</v>
      </c>
      <c r="EW36" s="2">
        <v>68.26</v>
      </c>
      <c r="EX36" s="2">
        <v>9.4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6"/>
        <v>0</v>
      </c>
      <c r="FS36" s="2">
        <v>0</v>
      </c>
      <c r="FT36" s="2"/>
      <c r="FU36" s="2"/>
      <c r="FV36" s="2"/>
      <c r="FW36" s="2"/>
      <c r="FX36" s="2">
        <v>102</v>
      </c>
      <c r="FY36" s="2">
        <v>54</v>
      </c>
      <c r="FZ36" s="2"/>
      <c r="GA36" s="2" t="s">
        <v>3</v>
      </c>
      <c r="GB36" s="2"/>
      <c r="GC36" s="2"/>
      <c r="GD36" s="2">
        <v>1</v>
      </c>
      <c r="GE36" s="2"/>
      <c r="GF36" s="2">
        <v>271457367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7"/>
        <v>0</v>
      </c>
      <c r="GM36" s="2">
        <f t="shared" si="48"/>
        <v>3488.67</v>
      </c>
      <c r="GN36" s="2">
        <f t="shared" si="49"/>
        <v>3488.67</v>
      </c>
      <c r="GO36" s="2">
        <f t="shared" si="50"/>
        <v>0</v>
      </c>
      <c r="GP36" s="2">
        <f t="shared" si="51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2"/>
        <v>0</v>
      </c>
      <c r="GW36" s="2">
        <v>1</v>
      </c>
      <c r="GX36" s="2">
        <f t="shared" si="53"/>
        <v>0</v>
      </c>
      <c r="GY36" s="2"/>
      <c r="GZ36" s="2"/>
      <c r="HA36" s="2">
        <v>0</v>
      </c>
      <c r="HB36" s="2">
        <v>0</v>
      </c>
      <c r="HC36" s="2">
        <f t="shared" si="54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3</v>
      </c>
      <c r="HN36" s="2" t="s">
        <v>58</v>
      </c>
      <c r="HO36" s="2" t="s">
        <v>59</v>
      </c>
      <c r="HP36" s="2" t="s">
        <v>56</v>
      </c>
      <c r="HQ36" s="2" t="s">
        <v>56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17</v>
      </c>
      <c r="B37">
        <v>1</v>
      </c>
      <c r="C37">
        <f>ROW(SmtRes!A36)</f>
        <v>36</v>
      </c>
      <c r="D37">
        <f>ROW(EtalonRes!A36)</f>
        <v>36</v>
      </c>
      <c r="E37" t="s">
        <v>51</v>
      </c>
      <c r="F37" t="s">
        <v>52</v>
      </c>
      <c r="G37" t="s">
        <v>53</v>
      </c>
      <c r="H37" t="s">
        <v>25</v>
      </c>
      <c r="I37">
        <f>ROUND(137/100,7)</f>
        <v>1.37</v>
      </c>
      <c r="J37">
        <v>0</v>
      </c>
      <c r="K37">
        <f>ROUND(137/100,7)</f>
        <v>1.37</v>
      </c>
      <c r="O37">
        <f t="shared" si="21"/>
        <v>45735.79</v>
      </c>
      <c r="P37">
        <f t="shared" si="22"/>
        <v>0</v>
      </c>
      <c r="Q37">
        <f t="shared" si="23"/>
        <v>15945.39</v>
      </c>
      <c r="R37">
        <f t="shared" si="24"/>
        <v>4776.41</v>
      </c>
      <c r="S37">
        <f t="shared" si="25"/>
        <v>29790.4</v>
      </c>
      <c r="T37">
        <f t="shared" si="26"/>
        <v>0</v>
      </c>
      <c r="U37">
        <f t="shared" si="27"/>
        <v>93.51620000000001</v>
      </c>
      <c r="V37">
        <f t="shared" si="28"/>
        <v>12.878000000000002</v>
      </c>
      <c r="W37">
        <f t="shared" si="29"/>
        <v>0</v>
      </c>
      <c r="X37">
        <f t="shared" si="30"/>
        <v>35258.15</v>
      </c>
      <c r="Y37">
        <f t="shared" si="31"/>
        <v>18666.08</v>
      </c>
      <c r="AA37">
        <v>55468473</v>
      </c>
      <c r="AB37">
        <f t="shared" si="32"/>
        <v>1478.92</v>
      </c>
      <c r="AC37">
        <f t="shared" si="33"/>
        <v>0</v>
      </c>
      <c r="AD37">
        <f t="shared" si="55"/>
        <v>889.15</v>
      </c>
      <c r="AE37">
        <f t="shared" si="56"/>
        <v>94.56</v>
      </c>
      <c r="AF37">
        <f t="shared" si="57"/>
        <v>589.77</v>
      </c>
      <c r="AG37">
        <f t="shared" si="34"/>
        <v>0</v>
      </c>
      <c r="AH37">
        <f t="shared" si="58"/>
        <v>68.26</v>
      </c>
      <c r="AI37">
        <f t="shared" si="59"/>
        <v>9.4</v>
      </c>
      <c r="AJ37">
        <f t="shared" si="35"/>
        <v>0</v>
      </c>
      <c r="AK37">
        <v>1478.92</v>
      </c>
      <c r="AL37">
        <v>0</v>
      </c>
      <c r="AM37">
        <v>889.15</v>
      </c>
      <c r="AN37">
        <v>94.56</v>
      </c>
      <c r="AO37">
        <v>589.77</v>
      </c>
      <c r="AP37">
        <v>0</v>
      </c>
      <c r="AQ37">
        <v>68.26</v>
      </c>
      <c r="AR37">
        <v>9.4</v>
      </c>
      <c r="AS37">
        <v>0</v>
      </c>
      <c r="AT37">
        <v>102</v>
      </c>
      <c r="AU37">
        <v>54</v>
      </c>
      <c r="AV37">
        <v>1</v>
      </c>
      <c r="AW37">
        <v>1</v>
      </c>
      <c r="AZ37">
        <v>1</v>
      </c>
      <c r="BA37">
        <v>36.87</v>
      </c>
      <c r="BB37">
        <v>13.09</v>
      </c>
      <c r="BC37">
        <v>6.65</v>
      </c>
      <c r="BH37">
        <v>0</v>
      </c>
      <c r="BI37">
        <v>1</v>
      </c>
      <c r="BJ37" t="s">
        <v>54</v>
      </c>
      <c r="BM37">
        <v>68001</v>
      </c>
      <c r="BN37">
        <v>0</v>
      </c>
      <c r="BO37" t="s">
        <v>37</v>
      </c>
      <c r="BP37">
        <v>1</v>
      </c>
      <c r="BQ37">
        <v>6</v>
      </c>
      <c r="BR37">
        <v>0</v>
      </c>
      <c r="BS37">
        <v>36.87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102</v>
      </c>
      <c r="CA37">
        <v>54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36"/>
        <v>45735.79</v>
      </c>
      <c r="CQ37">
        <f t="shared" si="37"/>
        <v>0</v>
      </c>
      <c r="CR37">
        <f t="shared" si="60"/>
        <v>11638.9735</v>
      </c>
      <c r="CS37">
        <f t="shared" si="38"/>
        <v>3486.4271999999996</v>
      </c>
      <c r="CT37">
        <f t="shared" si="39"/>
        <v>21744.8199</v>
      </c>
      <c r="CU37">
        <f t="shared" si="40"/>
        <v>0</v>
      </c>
      <c r="CV37">
        <f t="shared" si="41"/>
        <v>68.26</v>
      </c>
      <c r="CW37">
        <f t="shared" si="42"/>
        <v>9.4</v>
      </c>
      <c r="CX37">
        <f t="shared" si="43"/>
        <v>0</v>
      </c>
      <c r="CY37">
        <f t="shared" si="44"/>
        <v>35258.146199999996</v>
      </c>
      <c r="CZ37">
        <f t="shared" si="45"/>
        <v>18666.0774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25</v>
      </c>
      <c r="DW37" t="s">
        <v>25</v>
      </c>
      <c r="DX37">
        <v>100</v>
      </c>
      <c r="EE37">
        <v>55471846</v>
      </c>
      <c r="EF37">
        <v>6</v>
      </c>
      <c r="EG37" t="s">
        <v>55</v>
      </c>
      <c r="EH37">
        <v>102</v>
      </c>
      <c r="EI37" t="s">
        <v>56</v>
      </c>
      <c r="EJ37">
        <v>1</v>
      </c>
      <c r="EK37">
        <v>68001</v>
      </c>
      <c r="EL37" t="s">
        <v>56</v>
      </c>
      <c r="EM37" t="s">
        <v>57</v>
      </c>
      <c r="EQ37">
        <v>0</v>
      </c>
      <c r="ER37">
        <v>1478.92</v>
      </c>
      <c r="ES37">
        <v>0</v>
      </c>
      <c r="ET37">
        <v>889.15</v>
      </c>
      <c r="EU37">
        <v>94.56</v>
      </c>
      <c r="EV37">
        <v>589.77</v>
      </c>
      <c r="EW37">
        <v>68.26</v>
      </c>
      <c r="EX37">
        <v>9.4</v>
      </c>
      <c r="EY37">
        <v>0</v>
      </c>
      <c r="FQ37">
        <v>0</v>
      </c>
      <c r="FR37">
        <f t="shared" si="46"/>
        <v>0</v>
      </c>
      <c r="FS37">
        <v>0</v>
      </c>
      <c r="FX37">
        <v>102</v>
      </c>
      <c r="FY37">
        <v>54</v>
      </c>
      <c r="GD37">
        <v>1</v>
      </c>
      <c r="GF37">
        <v>271457367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7"/>
        <v>0</v>
      </c>
      <c r="GM37">
        <f t="shared" si="48"/>
        <v>99660.02</v>
      </c>
      <c r="GN37">
        <f t="shared" si="49"/>
        <v>99660.02</v>
      </c>
      <c r="GO37">
        <f t="shared" si="50"/>
        <v>0</v>
      </c>
      <c r="GP37">
        <f t="shared" si="51"/>
        <v>0</v>
      </c>
      <c r="GR37">
        <v>0</v>
      </c>
      <c r="GS37">
        <v>3</v>
      </c>
      <c r="GT37">
        <v>0</v>
      </c>
      <c r="GV37">
        <f t="shared" si="52"/>
        <v>0</v>
      </c>
      <c r="GW37">
        <v>1</v>
      </c>
      <c r="GX37">
        <f t="shared" si="53"/>
        <v>0</v>
      </c>
      <c r="HA37">
        <v>0</v>
      </c>
      <c r="HB37">
        <v>0</v>
      </c>
      <c r="HC37">
        <f t="shared" si="54"/>
        <v>0</v>
      </c>
      <c r="HN37" t="s">
        <v>58</v>
      </c>
      <c r="HO37" t="s">
        <v>59</v>
      </c>
      <c r="HP37" t="s">
        <v>56</v>
      </c>
      <c r="HQ37" t="s">
        <v>56</v>
      </c>
      <c r="IK37">
        <v>0</v>
      </c>
    </row>
    <row r="38" spans="1:255" ht="12.75">
      <c r="A38" s="2">
        <v>17</v>
      </c>
      <c r="B38" s="2">
        <v>1</v>
      </c>
      <c r="C38" s="2">
        <f>ROW(SmtRes!A37)</f>
        <v>37</v>
      </c>
      <c r="D38" s="2">
        <f>ROW(EtalonRes!A37)</f>
        <v>37</v>
      </c>
      <c r="E38" s="2" t="s">
        <v>60</v>
      </c>
      <c r="F38" s="2" t="s">
        <v>61</v>
      </c>
      <c r="G38" s="2" t="s">
        <v>62</v>
      </c>
      <c r="H38" s="2" t="s">
        <v>63</v>
      </c>
      <c r="I38" s="2">
        <f>ROUND(75/1000,7)</f>
        <v>0.075</v>
      </c>
      <c r="J38" s="2">
        <v>0</v>
      </c>
      <c r="K38" s="2">
        <f>ROUND(75/1000,7)</f>
        <v>0.075</v>
      </c>
      <c r="L38" s="2"/>
      <c r="M38" s="2"/>
      <c r="N38" s="2"/>
      <c r="O38" s="2">
        <f t="shared" si="21"/>
        <v>34.87</v>
      </c>
      <c r="P38" s="2">
        <f t="shared" si="22"/>
        <v>0</v>
      </c>
      <c r="Q38" s="2">
        <f t="shared" si="23"/>
        <v>0</v>
      </c>
      <c r="R38" s="2">
        <f t="shared" si="24"/>
        <v>0</v>
      </c>
      <c r="S38" s="2">
        <f t="shared" si="25"/>
        <v>34.87</v>
      </c>
      <c r="T38" s="2">
        <f t="shared" si="26"/>
        <v>0</v>
      </c>
      <c r="U38" s="2">
        <f t="shared" si="27"/>
        <v>4.47</v>
      </c>
      <c r="V38" s="2">
        <f t="shared" si="28"/>
        <v>0</v>
      </c>
      <c r="W38" s="2">
        <f t="shared" si="29"/>
        <v>0</v>
      </c>
      <c r="X38" s="2">
        <f t="shared" si="30"/>
        <v>35.57</v>
      </c>
      <c r="Y38" s="2">
        <f t="shared" si="31"/>
        <v>18.83</v>
      </c>
      <c r="Z38" s="2"/>
      <c r="AA38" s="2">
        <v>55468472</v>
      </c>
      <c r="AB38" s="2">
        <f t="shared" si="32"/>
        <v>464.88</v>
      </c>
      <c r="AC38" s="2">
        <f t="shared" si="33"/>
        <v>0</v>
      </c>
      <c r="AD38" s="2">
        <f t="shared" si="55"/>
        <v>0</v>
      </c>
      <c r="AE38" s="2">
        <f t="shared" si="56"/>
        <v>0</v>
      </c>
      <c r="AF38" s="2">
        <f t="shared" si="57"/>
        <v>464.88</v>
      </c>
      <c r="AG38" s="2">
        <f t="shared" si="34"/>
        <v>0</v>
      </c>
      <c r="AH38" s="2">
        <f t="shared" si="58"/>
        <v>59.6</v>
      </c>
      <c r="AI38" s="2">
        <f t="shared" si="59"/>
        <v>0</v>
      </c>
      <c r="AJ38" s="2">
        <f t="shared" si="35"/>
        <v>0</v>
      </c>
      <c r="AK38" s="2">
        <v>464.88</v>
      </c>
      <c r="AL38" s="2">
        <v>0</v>
      </c>
      <c r="AM38" s="2">
        <v>0</v>
      </c>
      <c r="AN38" s="2">
        <v>0</v>
      </c>
      <c r="AO38" s="2">
        <v>464.88</v>
      </c>
      <c r="AP38" s="2">
        <v>0</v>
      </c>
      <c r="AQ38" s="2">
        <v>59.6</v>
      </c>
      <c r="AR38" s="2">
        <v>0</v>
      </c>
      <c r="AS38" s="2">
        <v>0</v>
      </c>
      <c r="AT38" s="2">
        <v>102</v>
      </c>
      <c r="AU38" s="2">
        <v>54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64</v>
      </c>
      <c r="BK38" s="2"/>
      <c r="BL38" s="2"/>
      <c r="BM38" s="2">
        <v>68001</v>
      </c>
      <c r="BN38" s="2">
        <v>0</v>
      </c>
      <c r="BO38" s="2" t="s">
        <v>3</v>
      </c>
      <c r="BP38" s="2">
        <v>0</v>
      </c>
      <c r="BQ38" s="2">
        <v>6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102</v>
      </c>
      <c r="CA38" s="2">
        <v>54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6"/>
        <v>34.87</v>
      </c>
      <c r="CQ38" s="2">
        <f t="shared" si="37"/>
        <v>0</v>
      </c>
      <c r="CR38" s="2">
        <f t="shared" si="60"/>
        <v>0</v>
      </c>
      <c r="CS38" s="2">
        <f t="shared" si="38"/>
        <v>0</v>
      </c>
      <c r="CT38" s="2">
        <f t="shared" si="39"/>
        <v>464.88</v>
      </c>
      <c r="CU38" s="2">
        <f t="shared" si="40"/>
        <v>0</v>
      </c>
      <c r="CV38" s="2">
        <f t="shared" si="41"/>
        <v>59.6</v>
      </c>
      <c r="CW38" s="2">
        <f t="shared" si="42"/>
        <v>0</v>
      </c>
      <c r="CX38" s="2">
        <f t="shared" si="43"/>
        <v>0</v>
      </c>
      <c r="CY38" s="2">
        <f t="shared" si="44"/>
        <v>35.5674</v>
      </c>
      <c r="CZ38" s="2">
        <f t="shared" si="45"/>
        <v>18.8298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1005</v>
      </c>
      <c r="DV38" s="2" t="s">
        <v>63</v>
      </c>
      <c r="DW38" s="2" t="s">
        <v>63</v>
      </c>
      <c r="DX38" s="2">
        <v>1000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55471846</v>
      </c>
      <c r="EF38" s="2">
        <v>6</v>
      </c>
      <c r="EG38" s="2" t="s">
        <v>55</v>
      </c>
      <c r="EH38" s="2">
        <v>102</v>
      </c>
      <c r="EI38" s="2" t="s">
        <v>56</v>
      </c>
      <c r="EJ38" s="2">
        <v>1</v>
      </c>
      <c r="EK38" s="2">
        <v>68001</v>
      </c>
      <c r="EL38" s="2" t="s">
        <v>56</v>
      </c>
      <c r="EM38" s="2" t="s">
        <v>57</v>
      </c>
      <c r="EN38" s="2"/>
      <c r="EO38" s="2" t="s">
        <v>3</v>
      </c>
      <c r="EP38" s="2"/>
      <c r="EQ38" s="2">
        <v>0</v>
      </c>
      <c r="ER38" s="2">
        <v>464.88</v>
      </c>
      <c r="ES38" s="2">
        <v>0</v>
      </c>
      <c r="ET38" s="2">
        <v>0</v>
      </c>
      <c r="EU38" s="2">
        <v>0</v>
      </c>
      <c r="EV38" s="2">
        <v>464.88</v>
      </c>
      <c r="EW38" s="2">
        <v>59.6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6"/>
        <v>0</v>
      </c>
      <c r="FS38" s="2">
        <v>0</v>
      </c>
      <c r="FT38" s="2"/>
      <c r="FU38" s="2"/>
      <c r="FV38" s="2"/>
      <c r="FW38" s="2"/>
      <c r="FX38" s="2">
        <v>102</v>
      </c>
      <c r="FY38" s="2">
        <v>54</v>
      </c>
      <c r="FZ38" s="2"/>
      <c r="GA38" s="2" t="s">
        <v>3</v>
      </c>
      <c r="GB38" s="2"/>
      <c r="GC38" s="2"/>
      <c r="GD38" s="2">
        <v>1</v>
      </c>
      <c r="GE38" s="2"/>
      <c r="GF38" s="2">
        <v>31552568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7"/>
        <v>0</v>
      </c>
      <c r="GM38" s="2">
        <f t="shared" si="48"/>
        <v>89.27</v>
      </c>
      <c r="GN38" s="2">
        <f t="shared" si="49"/>
        <v>89.27</v>
      </c>
      <c r="GO38" s="2">
        <f t="shared" si="50"/>
        <v>0</v>
      </c>
      <c r="GP38" s="2">
        <f t="shared" si="51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2"/>
        <v>0</v>
      </c>
      <c r="GW38" s="2">
        <v>1</v>
      </c>
      <c r="GX38" s="2">
        <f t="shared" si="53"/>
        <v>0</v>
      </c>
      <c r="GY38" s="2"/>
      <c r="GZ38" s="2"/>
      <c r="HA38" s="2">
        <v>0</v>
      </c>
      <c r="HB38" s="2">
        <v>0</v>
      </c>
      <c r="HC38" s="2">
        <f t="shared" si="54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3</v>
      </c>
      <c r="HN38" s="2" t="s">
        <v>58</v>
      </c>
      <c r="HO38" s="2" t="s">
        <v>59</v>
      </c>
      <c r="HP38" s="2" t="s">
        <v>56</v>
      </c>
      <c r="HQ38" s="2" t="s">
        <v>56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17</v>
      </c>
      <c r="B39">
        <v>1</v>
      </c>
      <c r="C39">
        <f>ROW(SmtRes!A38)</f>
        <v>38</v>
      </c>
      <c r="D39">
        <f>ROW(EtalonRes!A38)</f>
        <v>38</v>
      </c>
      <c r="E39" t="s">
        <v>60</v>
      </c>
      <c r="F39" t="s">
        <v>61</v>
      </c>
      <c r="G39" t="s">
        <v>62</v>
      </c>
      <c r="H39" t="s">
        <v>63</v>
      </c>
      <c r="I39">
        <f>ROUND(75/1000,7)</f>
        <v>0.075</v>
      </c>
      <c r="J39">
        <v>0</v>
      </c>
      <c r="K39">
        <f>ROUND(75/1000,7)</f>
        <v>0.075</v>
      </c>
      <c r="O39">
        <f t="shared" si="21"/>
        <v>1285.51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1285.51</v>
      </c>
      <c r="T39">
        <f t="shared" si="26"/>
        <v>0</v>
      </c>
      <c r="U39">
        <f t="shared" si="27"/>
        <v>4.47</v>
      </c>
      <c r="V39">
        <f t="shared" si="28"/>
        <v>0</v>
      </c>
      <c r="W39">
        <f t="shared" si="29"/>
        <v>0</v>
      </c>
      <c r="X39">
        <f t="shared" si="30"/>
        <v>1311.22</v>
      </c>
      <c r="Y39">
        <f t="shared" si="31"/>
        <v>694.18</v>
      </c>
      <c r="AA39">
        <v>55468473</v>
      </c>
      <c r="AB39">
        <f t="shared" si="32"/>
        <v>464.88</v>
      </c>
      <c r="AC39">
        <f t="shared" si="33"/>
        <v>0</v>
      </c>
      <c r="AD39">
        <f t="shared" si="55"/>
        <v>0</v>
      </c>
      <c r="AE39">
        <f t="shared" si="56"/>
        <v>0</v>
      </c>
      <c r="AF39">
        <f t="shared" si="57"/>
        <v>464.88</v>
      </c>
      <c r="AG39">
        <f t="shared" si="34"/>
        <v>0</v>
      </c>
      <c r="AH39">
        <f t="shared" si="58"/>
        <v>59.6</v>
      </c>
      <c r="AI39">
        <f t="shared" si="59"/>
        <v>0</v>
      </c>
      <c r="AJ39">
        <f t="shared" si="35"/>
        <v>0</v>
      </c>
      <c r="AK39">
        <v>464.88</v>
      </c>
      <c r="AL39">
        <v>0</v>
      </c>
      <c r="AM39">
        <v>0</v>
      </c>
      <c r="AN39">
        <v>0</v>
      </c>
      <c r="AO39">
        <v>464.88</v>
      </c>
      <c r="AP39">
        <v>0</v>
      </c>
      <c r="AQ39">
        <v>59.6</v>
      </c>
      <c r="AR39">
        <v>0</v>
      </c>
      <c r="AS39">
        <v>0</v>
      </c>
      <c r="AT39">
        <v>102</v>
      </c>
      <c r="AU39">
        <v>54</v>
      </c>
      <c r="AV39">
        <v>1</v>
      </c>
      <c r="AW39">
        <v>1</v>
      </c>
      <c r="AZ39">
        <v>1</v>
      </c>
      <c r="BA39">
        <v>36.87</v>
      </c>
      <c r="BB39">
        <v>13.09</v>
      </c>
      <c r="BC39">
        <v>6.65</v>
      </c>
      <c r="BH39">
        <v>0</v>
      </c>
      <c r="BI39">
        <v>1</v>
      </c>
      <c r="BJ39" t="s">
        <v>64</v>
      </c>
      <c r="BM39">
        <v>68001</v>
      </c>
      <c r="BN39">
        <v>0</v>
      </c>
      <c r="BO39" t="s">
        <v>37</v>
      </c>
      <c r="BP39">
        <v>1</v>
      </c>
      <c r="BQ39">
        <v>6</v>
      </c>
      <c r="BR39">
        <v>0</v>
      </c>
      <c r="BS39">
        <v>36.87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102</v>
      </c>
      <c r="CA39">
        <v>54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36"/>
        <v>1285.51</v>
      </c>
      <c r="CQ39">
        <f t="shared" si="37"/>
        <v>0</v>
      </c>
      <c r="CR39">
        <f t="shared" si="60"/>
        <v>0</v>
      </c>
      <c r="CS39">
        <f t="shared" si="38"/>
        <v>0</v>
      </c>
      <c r="CT39">
        <f t="shared" si="39"/>
        <v>17140.1256</v>
      </c>
      <c r="CU39">
        <f t="shared" si="40"/>
        <v>0</v>
      </c>
      <c r="CV39">
        <f t="shared" si="41"/>
        <v>59.6</v>
      </c>
      <c r="CW39">
        <f t="shared" si="42"/>
        <v>0</v>
      </c>
      <c r="CX39">
        <f t="shared" si="43"/>
        <v>0</v>
      </c>
      <c r="CY39">
        <f t="shared" si="44"/>
        <v>1311.2202</v>
      </c>
      <c r="CZ39">
        <f t="shared" si="45"/>
        <v>694.1754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63</v>
      </c>
      <c r="DW39" t="s">
        <v>63</v>
      </c>
      <c r="DX39">
        <v>1000</v>
      </c>
      <c r="EE39">
        <v>55471846</v>
      </c>
      <c r="EF39">
        <v>6</v>
      </c>
      <c r="EG39" t="s">
        <v>55</v>
      </c>
      <c r="EH39">
        <v>102</v>
      </c>
      <c r="EI39" t="s">
        <v>56</v>
      </c>
      <c r="EJ39">
        <v>1</v>
      </c>
      <c r="EK39">
        <v>68001</v>
      </c>
      <c r="EL39" t="s">
        <v>56</v>
      </c>
      <c r="EM39" t="s">
        <v>57</v>
      </c>
      <c r="EQ39">
        <v>0</v>
      </c>
      <c r="ER39">
        <v>464.88</v>
      </c>
      <c r="ES39">
        <v>0</v>
      </c>
      <c r="ET39">
        <v>0</v>
      </c>
      <c r="EU39">
        <v>0</v>
      </c>
      <c r="EV39">
        <v>464.88</v>
      </c>
      <c r="EW39">
        <v>59.6</v>
      </c>
      <c r="EX39">
        <v>0</v>
      </c>
      <c r="EY39">
        <v>0</v>
      </c>
      <c r="FQ39">
        <v>0</v>
      </c>
      <c r="FR39">
        <f t="shared" si="46"/>
        <v>0</v>
      </c>
      <c r="FS39">
        <v>0</v>
      </c>
      <c r="FX39">
        <v>102</v>
      </c>
      <c r="FY39">
        <v>54</v>
      </c>
      <c r="GD39">
        <v>1</v>
      </c>
      <c r="GF39">
        <v>31552568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7"/>
        <v>0</v>
      </c>
      <c r="GM39">
        <f t="shared" si="48"/>
        <v>3290.91</v>
      </c>
      <c r="GN39">
        <f t="shared" si="49"/>
        <v>3290.91</v>
      </c>
      <c r="GO39">
        <f t="shared" si="50"/>
        <v>0</v>
      </c>
      <c r="GP39">
        <f t="shared" si="51"/>
        <v>0</v>
      </c>
      <c r="GR39">
        <v>0</v>
      </c>
      <c r="GS39">
        <v>3</v>
      </c>
      <c r="GT39">
        <v>0</v>
      </c>
      <c r="GV39">
        <f t="shared" si="52"/>
        <v>0</v>
      </c>
      <c r="GW39">
        <v>1</v>
      </c>
      <c r="GX39">
        <f t="shared" si="53"/>
        <v>0</v>
      </c>
      <c r="HA39">
        <v>0</v>
      </c>
      <c r="HB39">
        <v>0</v>
      </c>
      <c r="HC39">
        <f t="shared" si="54"/>
        <v>0</v>
      </c>
      <c r="HN39" t="s">
        <v>58</v>
      </c>
      <c r="HO39" t="s">
        <v>59</v>
      </c>
      <c r="HP39" t="s">
        <v>56</v>
      </c>
      <c r="HQ39" t="s">
        <v>56</v>
      </c>
      <c r="IK39">
        <v>0</v>
      </c>
    </row>
    <row r="41" spans="1:206" ht="12.75">
      <c r="A41" s="3">
        <v>51</v>
      </c>
      <c r="B41" s="3">
        <f>B24</f>
        <v>1</v>
      </c>
      <c r="C41" s="3">
        <f>A24</f>
        <v>4</v>
      </c>
      <c r="D41" s="3">
        <f>ROW(A24)</f>
        <v>24</v>
      </c>
      <c r="E41" s="3"/>
      <c r="F41" s="3">
        <f>IF(F24&lt;&gt;"",F24,"")</f>
      </c>
      <c r="G41" s="3" t="str">
        <f>IF(G24&lt;&gt;"",G24,"")</f>
        <v>Демонтажные работы</v>
      </c>
      <c r="H41" s="3">
        <v>0</v>
      </c>
      <c r="I41" s="3"/>
      <c r="J41" s="3"/>
      <c r="K41" s="3"/>
      <c r="L41" s="3"/>
      <c r="M41" s="3"/>
      <c r="N41" s="3"/>
      <c r="O41" s="3">
        <f aca="true" t="shared" si="61" ref="O41:T41">ROUND(AB41,2)</f>
        <v>7524.39</v>
      </c>
      <c r="P41" s="3">
        <f t="shared" si="61"/>
        <v>1087.89</v>
      </c>
      <c r="Q41" s="3">
        <f t="shared" si="61"/>
        <v>5058.91</v>
      </c>
      <c r="R41" s="3">
        <f t="shared" si="61"/>
        <v>287.91</v>
      </c>
      <c r="S41" s="3">
        <f t="shared" si="61"/>
        <v>1377.59</v>
      </c>
      <c r="T41" s="3">
        <f t="shared" si="61"/>
        <v>0</v>
      </c>
      <c r="U41" s="3">
        <f>AH41</f>
        <v>163.43730000000002</v>
      </c>
      <c r="V41" s="3">
        <f>AI41</f>
        <v>27.568</v>
      </c>
      <c r="W41" s="3">
        <f>ROUND(AJ41,2)</f>
        <v>0</v>
      </c>
      <c r="X41" s="3">
        <f>ROUND(AK41,2)</f>
        <v>1907.28</v>
      </c>
      <c r="Y41" s="3">
        <f>ROUND(AL41,2)</f>
        <v>1312.43</v>
      </c>
      <c r="Z41" s="3"/>
      <c r="AA41" s="3"/>
      <c r="AB41" s="3">
        <f>ROUND(SUMIF(AA28:AA39,"=55468472",O28:O39),2)</f>
        <v>7524.39</v>
      </c>
      <c r="AC41" s="3">
        <f>ROUND(SUMIF(AA28:AA39,"=55468472",P28:P39),2)</f>
        <v>1087.89</v>
      </c>
      <c r="AD41" s="3">
        <f>ROUND(SUMIF(AA28:AA39,"=55468472",Q28:Q39),2)</f>
        <v>5058.91</v>
      </c>
      <c r="AE41" s="3">
        <f>ROUND(SUMIF(AA28:AA39,"=55468472",R28:R39),2)</f>
        <v>287.91</v>
      </c>
      <c r="AF41" s="3">
        <f>ROUND(SUMIF(AA28:AA39,"=55468472",S28:S39),2)</f>
        <v>1377.59</v>
      </c>
      <c r="AG41" s="3">
        <f>ROUND(SUMIF(AA28:AA39,"=55468472",T28:T39),2)</f>
        <v>0</v>
      </c>
      <c r="AH41" s="3">
        <f>SUMIF(AA28:AA39,"=55468472",U28:U39)</f>
        <v>163.43730000000002</v>
      </c>
      <c r="AI41" s="3">
        <f>SUMIF(AA28:AA39,"=55468472",V28:V39)</f>
        <v>27.568</v>
      </c>
      <c r="AJ41" s="3">
        <f>ROUND(SUMIF(AA28:AA39,"=55468472",W28:W39),2)</f>
        <v>0</v>
      </c>
      <c r="AK41" s="3">
        <f>ROUND(SUMIF(AA28:AA39,"=55468472",X28:X39),2)</f>
        <v>1907.28</v>
      </c>
      <c r="AL41" s="3">
        <f>ROUND(SUMIF(AA28:AA39,"=55468472",Y28:Y39),2)</f>
        <v>1312.43</v>
      </c>
      <c r="AM41" s="3"/>
      <c r="AN41" s="3"/>
      <c r="AO41" s="3">
        <f aca="true" t="shared" si="62" ref="AO41:BD41">ROUND(BX41,2)</f>
        <v>0</v>
      </c>
      <c r="AP41" s="3">
        <f t="shared" si="62"/>
        <v>0</v>
      </c>
      <c r="AQ41" s="3">
        <f t="shared" si="62"/>
        <v>0</v>
      </c>
      <c r="AR41" s="3">
        <f t="shared" si="62"/>
        <v>10744.1</v>
      </c>
      <c r="AS41" s="3">
        <f t="shared" si="62"/>
        <v>10744.1</v>
      </c>
      <c r="AT41" s="3">
        <f t="shared" si="62"/>
        <v>0</v>
      </c>
      <c r="AU41" s="3">
        <f t="shared" si="62"/>
        <v>0</v>
      </c>
      <c r="AV41" s="3">
        <f t="shared" si="62"/>
        <v>1087.89</v>
      </c>
      <c r="AW41" s="3">
        <f t="shared" si="62"/>
        <v>1087.89</v>
      </c>
      <c r="AX41" s="3">
        <f t="shared" si="62"/>
        <v>0</v>
      </c>
      <c r="AY41" s="3">
        <f t="shared" si="62"/>
        <v>1087.89</v>
      </c>
      <c r="AZ41" s="3">
        <f t="shared" si="62"/>
        <v>0</v>
      </c>
      <c r="BA41" s="3">
        <f t="shared" si="62"/>
        <v>0</v>
      </c>
      <c r="BB41" s="3">
        <f t="shared" si="62"/>
        <v>0</v>
      </c>
      <c r="BC41" s="3">
        <f t="shared" si="62"/>
        <v>0</v>
      </c>
      <c r="BD41" s="3">
        <f t="shared" si="62"/>
        <v>0</v>
      </c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>
        <f>ROUND(SUMIF(AA28:AA39,"=55468472",FQ28:FQ39),2)</f>
        <v>0</v>
      </c>
      <c r="BY41" s="3">
        <f>ROUND(SUMIF(AA28:AA39,"=55468472",FR28:FR39),2)</f>
        <v>0</v>
      </c>
      <c r="BZ41" s="3">
        <f>ROUND(SUMIF(AA28:AA39,"=55468472",GL28:GL39),2)</f>
        <v>0</v>
      </c>
      <c r="CA41" s="3">
        <f>ROUND(SUMIF(AA28:AA39,"=55468472",GM28:GM39),2)</f>
        <v>10744.1</v>
      </c>
      <c r="CB41" s="3">
        <f>ROUND(SUMIF(AA28:AA39,"=55468472",GN28:GN39),2)</f>
        <v>10744.1</v>
      </c>
      <c r="CC41" s="3">
        <f>ROUND(SUMIF(AA28:AA39,"=55468472",GO28:GO39),2)</f>
        <v>0</v>
      </c>
      <c r="CD41" s="3">
        <f>ROUND(SUMIF(AA28:AA39,"=55468472",GP28:GP39),2)</f>
        <v>0</v>
      </c>
      <c r="CE41" s="3">
        <f>AC41-BX41</f>
        <v>1087.89</v>
      </c>
      <c r="CF41" s="3">
        <f>AC41-BY41</f>
        <v>1087.89</v>
      </c>
      <c r="CG41" s="3">
        <f>BX41-BZ41</f>
        <v>0</v>
      </c>
      <c r="CH41" s="3">
        <f>AC41-BX41-BY41+BZ41</f>
        <v>1087.89</v>
      </c>
      <c r="CI41" s="3">
        <f>BY41-BZ41</f>
        <v>0</v>
      </c>
      <c r="CJ41" s="3">
        <f>ROUND(SUMIF(AA28:AA39,"=55468472",GX28:GX39),2)</f>
        <v>0</v>
      </c>
      <c r="CK41" s="3">
        <f>ROUND(SUMIF(AA28:AA39,"=55468472",GY28:GY39),2)</f>
        <v>0</v>
      </c>
      <c r="CL41" s="3">
        <f>ROUND(SUMIF(AA28:AA39,"=55468472",GZ28:GZ39),2)</f>
        <v>0</v>
      </c>
      <c r="CM41" s="3">
        <f>ROUND(SUMIF(AA28:AA39,"=55468472",HD28:HD39),2)</f>
        <v>0</v>
      </c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4">
        <f aca="true" t="shared" si="63" ref="DG41:DL41">ROUND(DT41,2)</f>
        <v>124247.7</v>
      </c>
      <c r="DH41" s="4">
        <f t="shared" si="63"/>
        <v>7234.48</v>
      </c>
      <c r="DI41" s="4">
        <f t="shared" si="63"/>
        <v>66221.37</v>
      </c>
      <c r="DJ41" s="4">
        <f t="shared" si="63"/>
        <v>10614.98</v>
      </c>
      <c r="DK41" s="4">
        <f t="shared" si="63"/>
        <v>50791.85</v>
      </c>
      <c r="DL41" s="4">
        <f t="shared" si="63"/>
        <v>0</v>
      </c>
      <c r="DM41" s="4">
        <f>DZ41</f>
        <v>163.43730000000002</v>
      </c>
      <c r="DN41" s="4">
        <f>EA41</f>
        <v>27.568</v>
      </c>
      <c r="DO41" s="4">
        <f>ROUND(EB41,2)</f>
        <v>0</v>
      </c>
      <c r="DP41" s="4">
        <f>ROUND(EC41,2)</f>
        <v>70321.28</v>
      </c>
      <c r="DQ41" s="4">
        <f>ROUND(ED41,2)</f>
        <v>48389.32</v>
      </c>
      <c r="DR41" s="4"/>
      <c r="DS41" s="4"/>
      <c r="DT41" s="4">
        <f>ROUND(SUMIF(AA28:AA39,"=55468473",O28:O39),2)</f>
        <v>124247.7</v>
      </c>
      <c r="DU41" s="4">
        <f>ROUND(SUMIF(AA28:AA39,"=55468473",P28:P39),2)</f>
        <v>7234.48</v>
      </c>
      <c r="DV41" s="4">
        <f>ROUND(SUMIF(AA28:AA39,"=55468473",Q28:Q39),2)</f>
        <v>66221.37</v>
      </c>
      <c r="DW41" s="4">
        <f>ROUND(SUMIF(AA28:AA39,"=55468473",R28:R39),2)</f>
        <v>10614.98</v>
      </c>
      <c r="DX41" s="4">
        <f>ROUND(SUMIF(AA28:AA39,"=55468473",S28:S39),2)</f>
        <v>50791.85</v>
      </c>
      <c r="DY41" s="4">
        <f>ROUND(SUMIF(AA28:AA39,"=55468473",T28:T39),2)</f>
        <v>0</v>
      </c>
      <c r="DZ41" s="4">
        <f>SUMIF(AA28:AA39,"=55468473",U28:U39)</f>
        <v>163.43730000000002</v>
      </c>
      <c r="EA41" s="4">
        <f>SUMIF(AA28:AA39,"=55468473",V28:V39)</f>
        <v>27.568</v>
      </c>
      <c r="EB41" s="4">
        <f>ROUND(SUMIF(AA28:AA39,"=55468473",W28:W39),2)</f>
        <v>0</v>
      </c>
      <c r="EC41" s="4">
        <f>ROUND(SUMIF(AA28:AA39,"=55468473",X28:X39),2)</f>
        <v>70321.28</v>
      </c>
      <c r="ED41" s="4">
        <f>ROUND(SUMIF(AA28:AA39,"=55468473",Y28:Y39),2)</f>
        <v>48389.32</v>
      </c>
      <c r="EE41" s="4"/>
      <c r="EF41" s="4"/>
      <c r="EG41" s="4">
        <f aca="true" t="shared" si="64" ref="EG41:EV41">ROUND(FP41,2)</f>
        <v>0</v>
      </c>
      <c r="EH41" s="4">
        <f t="shared" si="64"/>
        <v>0</v>
      </c>
      <c r="EI41" s="4">
        <f t="shared" si="64"/>
        <v>0</v>
      </c>
      <c r="EJ41" s="4">
        <f t="shared" si="64"/>
        <v>242958.3</v>
      </c>
      <c r="EK41" s="4">
        <f t="shared" si="64"/>
        <v>242958.3</v>
      </c>
      <c r="EL41" s="4">
        <f t="shared" si="64"/>
        <v>0</v>
      </c>
      <c r="EM41" s="4">
        <f t="shared" si="64"/>
        <v>0</v>
      </c>
      <c r="EN41" s="4">
        <f t="shared" si="64"/>
        <v>7234.48</v>
      </c>
      <c r="EO41" s="4">
        <f t="shared" si="64"/>
        <v>7234.48</v>
      </c>
      <c r="EP41" s="4">
        <f t="shared" si="64"/>
        <v>0</v>
      </c>
      <c r="EQ41" s="4">
        <f t="shared" si="64"/>
        <v>7234.48</v>
      </c>
      <c r="ER41" s="4">
        <f t="shared" si="64"/>
        <v>0</v>
      </c>
      <c r="ES41" s="4">
        <f t="shared" si="64"/>
        <v>0</v>
      </c>
      <c r="ET41" s="4">
        <f t="shared" si="64"/>
        <v>0</v>
      </c>
      <c r="EU41" s="4">
        <f t="shared" si="64"/>
        <v>0</v>
      </c>
      <c r="EV41" s="4">
        <f t="shared" si="64"/>
        <v>0</v>
      </c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>
        <f>ROUND(SUMIF(AA28:AA39,"=55468473",FQ28:FQ39),2)</f>
        <v>0</v>
      </c>
      <c r="FQ41" s="4">
        <f>ROUND(SUMIF(AA28:AA39,"=55468473",FR28:FR39),2)</f>
        <v>0</v>
      </c>
      <c r="FR41" s="4">
        <f>ROUND(SUMIF(AA28:AA39,"=55468473",GL28:GL39),2)</f>
        <v>0</v>
      </c>
      <c r="FS41" s="4">
        <f>ROUND(SUMIF(AA28:AA39,"=55468473",GM28:GM39),2)</f>
        <v>242958.3</v>
      </c>
      <c r="FT41" s="4">
        <f>ROUND(SUMIF(AA28:AA39,"=55468473",GN28:GN39),2)</f>
        <v>242958.3</v>
      </c>
      <c r="FU41" s="4">
        <f>ROUND(SUMIF(AA28:AA39,"=55468473",GO28:GO39),2)</f>
        <v>0</v>
      </c>
      <c r="FV41" s="4">
        <f>ROUND(SUMIF(AA28:AA39,"=55468473",GP28:GP39),2)</f>
        <v>0</v>
      </c>
      <c r="FW41" s="4">
        <f>DU41-FP41</f>
        <v>7234.48</v>
      </c>
      <c r="FX41" s="4">
        <f>DU41-FQ41</f>
        <v>7234.48</v>
      </c>
      <c r="FY41" s="4">
        <f>FP41-FR41</f>
        <v>0</v>
      </c>
      <c r="FZ41" s="4">
        <f>DU41-FP41-FQ41+FR41</f>
        <v>7234.48</v>
      </c>
      <c r="GA41" s="4">
        <f>FQ41-FR41</f>
        <v>0</v>
      </c>
      <c r="GB41" s="4">
        <f>ROUND(SUMIF(AA28:AA39,"=55468473",GX28:GX39),2)</f>
        <v>0</v>
      </c>
      <c r="GC41" s="4">
        <f>ROUND(SUMIF(AA28:AA39,"=55468473",GY28:GY39),2)</f>
        <v>0</v>
      </c>
      <c r="GD41" s="4">
        <f>ROUND(SUMIF(AA28:AA39,"=55468473",GZ28:GZ39),2)</f>
        <v>0</v>
      </c>
      <c r="GE41" s="4">
        <f>ROUND(SUMIF(AA28:AA39,"=55468473",HD28:HD39),2)</f>
        <v>0</v>
      </c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>
        <v>0</v>
      </c>
    </row>
    <row r="43" spans="1:28" ht="12.75">
      <c r="A43" s="5">
        <v>50</v>
      </c>
      <c r="B43" s="5">
        <v>0</v>
      </c>
      <c r="C43" s="5">
        <v>0</v>
      </c>
      <c r="D43" s="5">
        <v>1</v>
      </c>
      <c r="E43" s="5">
        <v>201</v>
      </c>
      <c r="F43" s="5">
        <f>ROUND(Source!O41,O43)</f>
        <v>7524.39</v>
      </c>
      <c r="G43" s="5" t="s">
        <v>65</v>
      </c>
      <c r="H43" s="5" t="s">
        <v>66</v>
      </c>
      <c r="I43" s="5"/>
      <c r="J43" s="5"/>
      <c r="K43" s="5">
        <v>201</v>
      </c>
      <c r="L43" s="5">
        <v>1</v>
      </c>
      <c r="M43" s="5">
        <v>3</v>
      </c>
      <c r="N43" s="5" t="s">
        <v>3</v>
      </c>
      <c r="O43" s="5">
        <v>2</v>
      </c>
      <c r="P43" s="5">
        <f>ROUND(Source!DG41,O43)</f>
        <v>124247.7</v>
      </c>
      <c r="Q43" s="5"/>
      <c r="R43" s="5"/>
      <c r="S43" s="5"/>
      <c r="T43" s="5"/>
      <c r="U43" s="5"/>
      <c r="V43" s="5"/>
      <c r="W43" s="5">
        <v>7524.389999999999</v>
      </c>
      <c r="X43" s="5">
        <v>1</v>
      </c>
      <c r="Y43" s="5">
        <v>7524.389999999999</v>
      </c>
      <c r="Z43" s="5">
        <v>124247.7</v>
      </c>
      <c r="AA43" s="5">
        <v>1</v>
      </c>
      <c r="AB43" s="5">
        <v>124247.7</v>
      </c>
    </row>
    <row r="44" spans="1:28" ht="12.75">
      <c r="A44" s="5">
        <v>50</v>
      </c>
      <c r="B44" s="5">
        <v>0</v>
      </c>
      <c r="C44" s="5">
        <v>0</v>
      </c>
      <c r="D44" s="5">
        <v>1</v>
      </c>
      <c r="E44" s="5">
        <v>202</v>
      </c>
      <c r="F44" s="5">
        <f>ROUND(Source!P41,O44)</f>
        <v>1087.89</v>
      </c>
      <c r="G44" s="5" t="s">
        <v>67</v>
      </c>
      <c r="H44" s="5" t="s">
        <v>68</v>
      </c>
      <c r="I44" s="5"/>
      <c r="J44" s="5"/>
      <c r="K44" s="5">
        <v>202</v>
      </c>
      <c r="L44" s="5">
        <v>2</v>
      </c>
      <c r="M44" s="5">
        <v>3</v>
      </c>
      <c r="N44" s="5" t="s">
        <v>3</v>
      </c>
      <c r="O44" s="5">
        <v>2</v>
      </c>
      <c r="P44" s="5">
        <f>ROUND(Source!DH41,O44)</f>
        <v>7234.48</v>
      </c>
      <c r="Q44" s="5"/>
      <c r="R44" s="5"/>
      <c r="S44" s="5"/>
      <c r="T44" s="5"/>
      <c r="U44" s="5"/>
      <c r="V44" s="5"/>
      <c r="W44" s="5">
        <v>1087.89</v>
      </c>
      <c r="X44" s="5">
        <v>1</v>
      </c>
      <c r="Y44" s="5">
        <v>1087.89</v>
      </c>
      <c r="Z44" s="5">
        <v>7234.48</v>
      </c>
      <c r="AA44" s="5">
        <v>1</v>
      </c>
      <c r="AB44" s="5">
        <v>7234.48</v>
      </c>
    </row>
    <row r="45" spans="1:28" ht="12.75">
      <c r="A45" s="5">
        <v>50</v>
      </c>
      <c r="B45" s="5">
        <v>0</v>
      </c>
      <c r="C45" s="5">
        <v>0</v>
      </c>
      <c r="D45" s="5">
        <v>1</v>
      </c>
      <c r="E45" s="5">
        <v>222</v>
      </c>
      <c r="F45" s="5">
        <f>ROUND(Source!AO41,O45)</f>
        <v>0</v>
      </c>
      <c r="G45" s="5" t="s">
        <v>69</v>
      </c>
      <c r="H45" s="5" t="s">
        <v>70</v>
      </c>
      <c r="I45" s="5"/>
      <c r="J45" s="5"/>
      <c r="K45" s="5">
        <v>222</v>
      </c>
      <c r="L45" s="5">
        <v>3</v>
      </c>
      <c r="M45" s="5">
        <v>3</v>
      </c>
      <c r="N45" s="5" t="s">
        <v>3</v>
      </c>
      <c r="O45" s="5">
        <v>2</v>
      </c>
      <c r="P45" s="5">
        <f>ROUND(Source!EG41,O45)</f>
        <v>0</v>
      </c>
      <c r="Q45" s="5"/>
      <c r="R45" s="5"/>
      <c r="S45" s="5"/>
      <c r="T45" s="5"/>
      <c r="U45" s="5"/>
      <c r="V45" s="5"/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</row>
    <row r="46" spans="1:28" ht="12.75">
      <c r="A46" s="5">
        <v>50</v>
      </c>
      <c r="B46" s="5">
        <v>0</v>
      </c>
      <c r="C46" s="5">
        <v>0</v>
      </c>
      <c r="D46" s="5">
        <v>1</v>
      </c>
      <c r="E46" s="5">
        <v>225</v>
      </c>
      <c r="F46" s="5">
        <f>ROUND(Source!AV41,O46)</f>
        <v>1087.89</v>
      </c>
      <c r="G46" s="5" t="s">
        <v>71</v>
      </c>
      <c r="H46" s="5" t="s">
        <v>72</v>
      </c>
      <c r="I46" s="5"/>
      <c r="J46" s="5"/>
      <c r="K46" s="5">
        <v>225</v>
      </c>
      <c r="L46" s="5">
        <v>4</v>
      </c>
      <c r="M46" s="5">
        <v>3</v>
      </c>
      <c r="N46" s="5" t="s">
        <v>3</v>
      </c>
      <c r="O46" s="5">
        <v>2</v>
      </c>
      <c r="P46" s="5">
        <f>ROUND(Source!EN41,O46)</f>
        <v>7234.48</v>
      </c>
      <c r="Q46" s="5"/>
      <c r="R46" s="5"/>
      <c r="S46" s="5"/>
      <c r="T46" s="5"/>
      <c r="U46" s="5"/>
      <c r="V46" s="5"/>
      <c r="W46" s="5">
        <v>1087.89</v>
      </c>
      <c r="X46" s="5">
        <v>1</v>
      </c>
      <c r="Y46" s="5">
        <v>1087.89</v>
      </c>
      <c r="Z46" s="5">
        <v>7234.48</v>
      </c>
      <c r="AA46" s="5">
        <v>1</v>
      </c>
      <c r="AB46" s="5">
        <v>7234.48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226</v>
      </c>
      <c r="F47" s="5">
        <f>ROUND(Source!AW41,O47)</f>
        <v>1087.89</v>
      </c>
      <c r="G47" s="5" t="s">
        <v>73</v>
      </c>
      <c r="H47" s="5" t="s">
        <v>74</v>
      </c>
      <c r="I47" s="5"/>
      <c r="J47" s="5"/>
      <c r="K47" s="5">
        <v>226</v>
      </c>
      <c r="L47" s="5">
        <v>5</v>
      </c>
      <c r="M47" s="5">
        <v>3</v>
      </c>
      <c r="N47" s="5" t="s">
        <v>3</v>
      </c>
      <c r="O47" s="5">
        <v>2</v>
      </c>
      <c r="P47" s="5">
        <f>ROUND(Source!EO41,O47)</f>
        <v>7234.48</v>
      </c>
      <c r="Q47" s="5"/>
      <c r="R47" s="5"/>
      <c r="S47" s="5"/>
      <c r="T47" s="5"/>
      <c r="U47" s="5"/>
      <c r="V47" s="5"/>
      <c r="W47" s="5">
        <v>1087.89</v>
      </c>
      <c r="X47" s="5">
        <v>1</v>
      </c>
      <c r="Y47" s="5">
        <v>1087.89</v>
      </c>
      <c r="Z47" s="5">
        <v>7234.48</v>
      </c>
      <c r="AA47" s="5">
        <v>1</v>
      </c>
      <c r="AB47" s="5">
        <v>7234.48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227</v>
      </c>
      <c r="F48" s="5">
        <f>ROUND(Source!AX41,O48)</f>
        <v>0</v>
      </c>
      <c r="G48" s="5" t="s">
        <v>75</v>
      </c>
      <c r="H48" s="5" t="s">
        <v>76</v>
      </c>
      <c r="I48" s="5"/>
      <c r="J48" s="5"/>
      <c r="K48" s="5">
        <v>227</v>
      </c>
      <c r="L48" s="5">
        <v>6</v>
      </c>
      <c r="M48" s="5">
        <v>3</v>
      </c>
      <c r="N48" s="5" t="s">
        <v>3</v>
      </c>
      <c r="O48" s="5">
        <v>2</v>
      </c>
      <c r="P48" s="5">
        <f>ROUND(Source!EP41,O48)</f>
        <v>0</v>
      </c>
      <c r="Q48" s="5"/>
      <c r="R48" s="5"/>
      <c r="S48" s="5"/>
      <c r="T48" s="5"/>
      <c r="U48" s="5"/>
      <c r="V48" s="5"/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228</v>
      </c>
      <c r="F49" s="5">
        <f>ROUND(Source!AY41,O49)</f>
        <v>1087.89</v>
      </c>
      <c r="G49" s="5" t="s">
        <v>77</v>
      </c>
      <c r="H49" s="5" t="s">
        <v>78</v>
      </c>
      <c r="I49" s="5"/>
      <c r="J49" s="5"/>
      <c r="K49" s="5">
        <v>228</v>
      </c>
      <c r="L49" s="5">
        <v>7</v>
      </c>
      <c r="M49" s="5">
        <v>3</v>
      </c>
      <c r="N49" s="5" t="s">
        <v>3</v>
      </c>
      <c r="O49" s="5">
        <v>2</v>
      </c>
      <c r="P49" s="5">
        <f>ROUND(Source!EQ41,O49)</f>
        <v>7234.48</v>
      </c>
      <c r="Q49" s="5"/>
      <c r="R49" s="5"/>
      <c r="S49" s="5"/>
      <c r="T49" s="5"/>
      <c r="U49" s="5"/>
      <c r="V49" s="5"/>
      <c r="W49" s="5">
        <v>1087.89</v>
      </c>
      <c r="X49" s="5">
        <v>1</v>
      </c>
      <c r="Y49" s="5">
        <v>1087.89</v>
      </c>
      <c r="Z49" s="5">
        <v>7234.48</v>
      </c>
      <c r="AA49" s="5">
        <v>1</v>
      </c>
      <c r="AB49" s="5">
        <v>7234.48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216</v>
      </c>
      <c r="F50" s="5">
        <f>ROUND(Source!AP41,O50)</f>
        <v>0</v>
      </c>
      <c r="G50" s="5" t="s">
        <v>79</v>
      </c>
      <c r="H50" s="5" t="s">
        <v>80</v>
      </c>
      <c r="I50" s="5"/>
      <c r="J50" s="5"/>
      <c r="K50" s="5">
        <v>216</v>
      </c>
      <c r="L50" s="5">
        <v>8</v>
      </c>
      <c r="M50" s="5">
        <v>3</v>
      </c>
      <c r="N50" s="5" t="s">
        <v>3</v>
      </c>
      <c r="O50" s="5">
        <v>2</v>
      </c>
      <c r="P50" s="5">
        <f>ROUND(Source!EH41,O50)</f>
        <v>0</v>
      </c>
      <c r="Q50" s="5"/>
      <c r="R50" s="5"/>
      <c r="S50" s="5"/>
      <c r="T50" s="5"/>
      <c r="U50" s="5"/>
      <c r="V50" s="5"/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0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223</v>
      </c>
      <c r="F51" s="5">
        <f>ROUND(Source!AQ41,O51)</f>
        <v>0</v>
      </c>
      <c r="G51" s="5" t="s">
        <v>81</v>
      </c>
      <c r="H51" s="5" t="s">
        <v>82</v>
      </c>
      <c r="I51" s="5"/>
      <c r="J51" s="5"/>
      <c r="K51" s="5">
        <v>223</v>
      </c>
      <c r="L51" s="5">
        <v>9</v>
      </c>
      <c r="M51" s="5">
        <v>3</v>
      </c>
      <c r="N51" s="5" t="s">
        <v>3</v>
      </c>
      <c r="O51" s="5">
        <v>2</v>
      </c>
      <c r="P51" s="5">
        <f>ROUND(Source!EI41,O51)</f>
        <v>0</v>
      </c>
      <c r="Q51" s="5"/>
      <c r="R51" s="5"/>
      <c r="S51" s="5"/>
      <c r="T51" s="5"/>
      <c r="U51" s="5"/>
      <c r="V51" s="5"/>
      <c r="W51" s="5">
        <v>0</v>
      </c>
      <c r="X51" s="5">
        <v>1</v>
      </c>
      <c r="Y51" s="5">
        <v>0</v>
      </c>
      <c r="Z51" s="5">
        <v>0</v>
      </c>
      <c r="AA51" s="5">
        <v>1</v>
      </c>
      <c r="AB51" s="5">
        <v>0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229</v>
      </c>
      <c r="F52" s="5">
        <f>ROUND(Source!AZ41,O52)</f>
        <v>0</v>
      </c>
      <c r="G52" s="5" t="s">
        <v>83</v>
      </c>
      <c r="H52" s="5" t="s">
        <v>84</v>
      </c>
      <c r="I52" s="5"/>
      <c r="J52" s="5"/>
      <c r="K52" s="5">
        <v>229</v>
      </c>
      <c r="L52" s="5">
        <v>10</v>
      </c>
      <c r="M52" s="5">
        <v>3</v>
      </c>
      <c r="N52" s="5" t="s">
        <v>3</v>
      </c>
      <c r="O52" s="5">
        <v>2</v>
      </c>
      <c r="P52" s="5">
        <f>ROUND(Source!ER41,O52)</f>
        <v>0</v>
      </c>
      <c r="Q52" s="5"/>
      <c r="R52" s="5"/>
      <c r="S52" s="5"/>
      <c r="T52" s="5"/>
      <c r="U52" s="5"/>
      <c r="V52" s="5"/>
      <c r="W52" s="5">
        <v>0</v>
      </c>
      <c r="X52" s="5">
        <v>1</v>
      </c>
      <c r="Y52" s="5">
        <v>0</v>
      </c>
      <c r="Z52" s="5">
        <v>0</v>
      </c>
      <c r="AA52" s="5">
        <v>1</v>
      </c>
      <c r="AB52" s="5">
        <v>0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203</v>
      </c>
      <c r="F53" s="5">
        <f>ROUND(Source!Q41,O53)</f>
        <v>5058.91</v>
      </c>
      <c r="G53" s="5" t="s">
        <v>85</v>
      </c>
      <c r="H53" s="5" t="s">
        <v>86</v>
      </c>
      <c r="I53" s="5"/>
      <c r="J53" s="5"/>
      <c r="K53" s="5">
        <v>203</v>
      </c>
      <c r="L53" s="5">
        <v>11</v>
      </c>
      <c r="M53" s="5">
        <v>3</v>
      </c>
      <c r="N53" s="5" t="s">
        <v>3</v>
      </c>
      <c r="O53" s="5">
        <v>2</v>
      </c>
      <c r="P53" s="5">
        <f>ROUND(Source!DI41,O53)</f>
        <v>66221.37</v>
      </c>
      <c r="Q53" s="5"/>
      <c r="R53" s="5"/>
      <c r="S53" s="5"/>
      <c r="T53" s="5"/>
      <c r="U53" s="5"/>
      <c r="V53" s="5"/>
      <c r="W53" s="5">
        <v>5058.91</v>
      </c>
      <c r="X53" s="5">
        <v>1</v>
      </c>
      <c r="Y53" s="5">
        <v>5058.91</v>
      </c>
      <c r="Z53" s="5">
        <v>66221.37</v>
      </c>
      <c r="AA53" s="5">
        <v>1</v>
      </c>
      <c r="AB53" s="5">
        <v>66221.37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231</v>
      </c>
      <c r="F54" s="5">
        <f>ROUND(Source!BB41,O54)</f>
        <v>0</v>
      </c>
      <c r="G54" s="5" t="s">
        <v>87</v>
      </c>
      <c r="H54" s="5" t="s">
        <v>88</v>
      </c>
      <c r="I54" s="5"/>
      <c r="J54" s="5"/>
      <c r="K54" s="5">
        <v>231</v>
      </c>
      <c r="L54" s="5">
        <v>12</v>
      </c>
      <c r="M54" s="5">
        <v>3</v>
      </c>
      <c r="N54" s="5" t="s">
        <v>3</v>
      </c>
      <c r="O54" s="5">
        <v>2</v>
      </c>
      <c r="P54" s="5">
        <f>ROUND(Source!ET41,O54)</f>
        <v>0</v>
      </c>
      <c r="Q54" s="5"/>
      <c r="R54" s="5"/>
      <c r="S54" s="5"/>
      <c r="T54" s="5"/>
      <c r="U54" s="5"/>
      <c r="V54" s="5"/>
      <c r="W54" s="5">
        <v>0</v>
      </c>
      <c r="X54" s="5">
        <v>1</v>
      </c>
      <c r="Y54" s="5">
        <v>0</v>
      </c>
      <c r="Z54" s="5">
        <v>0</v>
      </c>
      <c r="AA54" s="5">
        <v>1</v>
      </c>
      <c r="AB54" s="5">
        <v>0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204</v>
      </c>
      <c r="F55" s="5">
        <f>ROUND(Source!R41,O55)</f>
        <v>287.91</v>
      </c>
      <c r="G55" s="5" t="s">
        <v>89</v>
      </c>
      <c r="H55" s="5" t="s">
        <v>90</v>
      </c>
      <c r="I55" s="5"/>
      <c r="J55" s="5"/>
      <c r="K55" s="5">
        <v>204</v>
      </c>
      <c r="L55" s="5">
        <v>13</v>
      </c>
      <c r="M55" s="5">
        <v>3</v>
      </c>
      <c r="N55" s="5" t="s">
        <v>3</v>
      </c>
      <c r="O55" s="5">
        <v>2</v>
      </c>
      <c r="P55" s="5">
        <f>ROUND(Source!DJ41,O55)</f>
        <v>10614.98</v>
      </c>
      <c r="Q55" s="5"/>
      <c r="R55" s="5"/>
      <c r="S55" s="5"/>
      <c r="T55" s="5"/>
      <c r="U55" s="5"/>
      <c r="V55" s="5"/>
      <c r="W55" s="5">
        <v>287.90999999999997</v>
      </c>
      <c r="X55" s="5">
        <v>1</v>
      </c>
      <c r="Y55" s="5">
        <v>287.90999999999997</v>
      </c>
      <c r="Z55" s="5">
        <v>10614.98</v>
      </c>
      <c r="AA55" s="5">
        <v>1</v>
      </c>
      <c r="AB55" s="5">
        <v>10614.98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205</v>
      </c>
      <c r="F56" s="5">
        <f>ROUND(Source!S41,O56)</f>
        <v>1377.59</v>
      </c>
      <c r="G56" s="5" t="s">
        <v>91</v>
      </c>
      <c r="H56" s="5" t="s">
        <v>92</v>
      </c>
      <c r="I56" s="5"/>
      <c r="J56" s="5"/>
      <c r="K56" s="5">
        <v>205</v>
      </c>
      <c r="L56" s="5">
        <v>14</v>
      </c>
      <c r="M56" s="5">
        <v>3</v>
      </c>
      <c r="N56" s="5" t="s">
        <v>3</v>
      </c>
      <c r="O56" s="5">
        <v>2</v>
      </c>
      <c r="P56" s="5">
        <f>ROUND(Source!DK41,O56)</f>
        <v>50791.85</v>
      </c>
      <c r="Q56" s="5"/>
      <c r="R56" s="5"/>
      <c r="S56" s="5"/>
      <c r="T56" s="5"/>
      <c r="U56" s="5"/>
      <c r="V56" s="5"/>
      <c r="W56" s="5">
        <v>1377.59</v>
      </c>
      <c r="X56" s="5">
        <v>1</v>
      </c>
      <c r="Y56" s="5">
        <v>1377.59</v>
      </c>
      <c r="Z56" s="5">
        <v>50791.85</v>
      </c>
      <c r="AA56" s="5">
        <v>1</v>
      </c>
      <c r="AB56" s="5">
        <v>50791.85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232</v>
      </c>
      <c r="F57" s="5">
        <f>ROUND(Source!BC41,O57)</f>
        <v>0</v>
      </c>
      <c r="G57" s="5" t="s">
        <v>93</v>
      </c>
      <c r="H57" s="5" t="s">
        <v>94</v>
      </c>
      <c r="I57" s="5"/>
      <c r="J57" s="5"/>
      <c r="K57" s="5">
        <v>232</v>
      </c>
      <c r="L57" s="5">
        <v>15</v>
      </c>
      <c r="M57" s="5">
        <v>3</v>
      </c>
      <c r="N57" s="5" t="s">
        <v>3</v>
      </c>
      <c r="O57" s="5">
        <v>2</v>
      </c>
      <c r="P57" s="5">
        <f>ROUND(Source!EU41,O57)</f>
        <v>0</v>
      </c>
      <c r="Q57" s="5"/>
      <c r="R57" s="5"/>
      <c r="S57" s="5"/>
      <c r="T57" s="5"/>
      <c r="U57" s="5"/>
      <c r="V57" s="5"/>
      <c r="W57" s="5">
        <v>0</v>
      </c>
      <c r="X57" s="5">
        <v>1</v>
      </c>
      <c r="Y57" s="5">
        <v>0</v>
      </c>
      <c r="Z57" s="5">
        <v>0</v>
      </c>
      <c r="AA57" s="5">
        <v>1</v>
      </c>
      <c r="AB57" s="5">
        <v>0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214</v>
      </c>
      <c r="F58" s="5">
        <f>ROUND(Source!AS41,O58)</f>
        <v>10744.1</v>
      </c>
      <c r="G58" s="5" t="s">
        <v>95</v>
      </c>
      <c r="H58" s="5" t="s">
        <v>96</v>
      </c>
      <c r="I58" s="5"/>
      <c r="J58" s="5"/>
      <c r="K58" s="5">
        <v>214</v>
      </c>
      <c r="L58" s="5">
        <v>16</v>
      </c>
      <c r="M58" s="5">
        <v>3</v>
      </c>
      <c r="N58" s="5" t="s">
        <v>3</v>
      </c>
      <c r="O58" s="5">
        <v>2</v>
      </c>
      <c r="P58" s="5">
        <f>ROUND(Source!EK41,O58)</f>
        <v>242958.3</v>
      </c>
      <c r="Q58" s="5"/>
      <c r="R58" s="5"/>
      <c r="S58" s="5"/>
      <c r="T58" s="5"/>
      <c r="U58" s="5"/>
      <c r="V58" s="5"/>
      <c r="W58" s="5">
        <v>10744.1</v>
      </c>
      <c r="X58" s="5">
        <v>1</v>
      </c>
      <c r="Y58" s="5">
        <v>10744.1</v>
      </c>
      <c r="Z58" s="5">
        <v>242958.3</v>
      </c>
      <c r="AA58" s="5">
        <v>1</v>
      </c>
      <c r="AB58" s="5">
        <v>242958.3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215</v>
      </c>
      <c r="F59" s="5">
        <f>ROUND(Source!AT41,O59)</f>
        <v>0</v>
      </c>
      <c r="G59" s="5" t="s">
        <v>97</v>
      </c>
      <c r="H59" s="5" t="s">
        <v>98</v>
      </c>
      <c r="I59" s="5"/>
      <c r="J59" s="5"/>
      <c r="K59" s="5">
        <v>215</v>
      </c>
      <c r="L59" s="5">
        <v>17</v>
      </c>
      <c r="M59" s="5">
        <v>3</v>
      </c>
      <c r="N59" s="5" t="s">
        <v>3</v>
      </c>
      <c r="O59" s="5">
        <v>2</v>
      </c>
      <c r="P59" s="5">
        <f>ROUND(Source!EL41,O59)</f>
        <v>0</v>
      </c>
      <c r="Q59" s="5"/>
      <c r="R59" s="5"/>
      <c r="S59" s="5"/>
      <c r="T59" s="5"/>
      <c r="U59" s="5"/>
      <c r="V59" s="5"/>
      <c r="W59" s="5">
        <v>0</v>
      </c>
      <c r="X59" s="5">
        <v>1</v>
      </c>
      <c r="Y59" s="5">
        <v>0</v>
      </c>
      <c r="Z59" s="5">
        <v>0</v>
      </c>
      <c r="AA59" s="5">
        <v>1</v>
      </c>
      <c r="AB59" s="5">
        <v>0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217</v>
      </c>
      <c r="F60" s="5">
        <f>ROUND(Source!AU41,O60)</f>
        <v>0</v>
      </c>
      <c r="G60" s="5" t="s">
        <v>99</v>
      </c>
      <c r="H60" s="5" t="s">
        <v>100</v>
      </c>
      <c r="I60" s="5"/>
      <c r="J60" s="5"/>
      <c r="K60" s="5">
        <v>217</v>
      </c>
      <c r="L60" s="5">
        <v>18</v>
      </c>
      <c r="M60" s="5">
        <v>3</v>
      </c>
      <c r="N60" s="5" t="s">
        <v>3</v>
      </c>
      <c r="O60" s="5">
        <v>2</v>
      </c>
      <c r="P60" s="5">
        <f>ROUND(Source!EM41,O60)</f>
        <v>0</v>
      </c>
      <c r="Q60" s="5"/>
      <c r="R60" s="5"/>
      <c r="S60" s="5"/>
      <c r="T60" s="5"/>
      <c r="U60" s="5"/>
      <c r="V60" s="5"/>
      <c r="W60" s="5">
        <v>0</v>
      </c>
      <c r="X60" s="5">
        <v>1</v>
      </c>
      <c r="Y60" s="5">
        <v>0</v>
      </c>
      <c r="Z60" s="5">
        <v>0</v>
      </c>
      <c r="AA60" s="5">
        <v>1</v>
      </c>
      <c r="AB60" s="5">
        <v>0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230</v>
      </c>
      <c r="F61" s="5">
        <f>ROUND(Source!BA41,O61)</f>
        <v>0</v>
      </c>
      <c r="G61" s="5" t="s">
        <v>101</v>
      </c>
      <c r="H61" s="5" t="s">
        <v>102</v>
      </c>
      <c r="I61" s="5"/>
      <c r="J61" s="5"/>
      <c r="K61" s="5">
        <v>230</v>
      </c>
      <c r="L61" s="5">
        <v>19</v>
      </c>
      <c r="M61" s="5">
        <v>3</v>
      </c>
      <c r="N61" s="5" t="s">
        <v>3</v>
      </c>
      <c r="O61" s="5">
        <v>2</v>
      </c>
      <c r="P61" s="5">
        <f>ROUND(Source!ES41,O61)</f>
        <v>0</v>
      </c>
      <c r="Q61" s="5"/>
      <c r="R61" s="5"/>
      <c r="S61" s="5"/>
      <c r="T61" s="5"/>
      <c r="U61" s="5"/>
      <c r="V61" s="5"/>
      <c r="W61" s="5">
        <v>0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206</v>
      </c>
      <c r="F62" s="5">
        <f>ROUND(Source!T41,O62)</f>
        <v>0</v>
      </c>
      <c r="G62" s="5" t="s">
        <v>103</v>
      </c>
      <c r="H62" s="5" t="s">
        <v>104</v>
      </c>
      <c r="I62" s="5"/>
      <c r="J62" s="5"/>
      <c r="K62" s="5">
        <v>206</v>
      </c>
      <c r="L62" s="5">
        <v>20</v>
      </c>
      <c r="M62" s="5">
        <v>3</v>
      </c>
      <c r="N62" s="5" t="s">
        <v>3</v>
      </c>
      <c r="O62" s="5">
        <v>2</v>
      </c>
      <c r="P62" s="5">
        <f>ROUND(Source!DL41,O62)</f>
        <v>0</v>
      </c>
      <c r="Q62" s="5"/>
      <c r="R62" s="5"/>
      <c r="S62" s="5"/>
      <c r="T62" s="5"/>
      <c r="U62" s="5"/>
      <c r="V62" s="5"/>
      <c r="W62" s="5">
        <v>0</v>
      </c>
      <c r="X62" s="5">
        <v>1</v>
      </c>
      <c r="Y62" s="5">
        <v>0</v>
      </c>
      <c r="Z62" s="5">
        <v>0</v>
      </c>
      <c r="AA62" s="5">
        <v>1</v>
      </c>
      <c r="AB62" s="5">
        <v>0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207</v>
      </c>
      <c r="F63" s="5">
        <f>Source!U41</f>
        <v>163.43730000000002</v>
      </c>
      <c r="G63" s="5" t="s">
        <v>105</v>
      </c>
      <c r="H63" s="5" t="s">
        <v>106</v>
      </c>
      <c r="I63" s="5"/>
      <c r="J63" s="5"/>
      <c r="K63" s="5">
        <v>207</v>
      </c>
      <c r="L63" s="5">
        <v>21</v>
      </c>
      <c r="M63" s="5">
        <v>3</v>
      </c>
      <c r="N63" s="5" t="s">
        <v>3</v>
      </c>
      <c r="O63" s="5">
        <v>-1</v>
      </c>
      <c r="P63" s="5">
        <f>Source!DM41</f>
        <v>163.43730000000002</v>
      </c>
      <c r="Q63" s="5"/>
      <c r="R63" s="5"/>
      <c r="S63" s="5"/>
      <c r="T63" s="5"/>
      <c r="U63" s="5"/>
      <c r="V63" s="5"/>
      <c r="W63" s="5">
        <v>163.4373</v>
      </c>
      <c r="X63" s="5">
        <v>1</v>
      </c>
      <c r="Y63" s="5">
        <v>163.4373</v>
      </c>
      <c r="Z63" s="5">
        <v>163.4373</v>
      </c>
      <c r="AA63" s="5">
        <v>1</v>
      </c>
      <c r="AB63" s="5">
        <v>163.4373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208</v>
      </c>
      <c r="F64" s="5">
        <f>Source!V41</f>
        <v>27.568</v>
      </c>
      <c r="G64" s="5" t="s">
        <v>107</v>
      </c>
      <c r="H64" s="5" t="s">
        <v>108</v>
      </c>
      <c r="I64" s="5"/>
      <c r="J64" s="5"/>
      <c r="K64" s="5">
        <v>208</v>
      </c>
      <c r="L64" s="5">
        <v>22</v>
      </c>
      <c r="M64" s="5">
        <v>3</v>
      </c>
      <c r="N64" s="5" t="s">
        <v>3</v>
      </c>
      <c r="O64" s="5">
        <v>-1</v>
      </c>
      <c r="P64" s="5">
        <f>Source!DN41</f>
        <v>27.568</v>
      </c>
      <c r="Q64" s="5"/>
      <c r="R64" s="5"/>
      <c r="S64" s="5"/>
      <c r="T64" s="5"/>
      <c r="U64" s="5"/>
      <c r="V64" s="5"/>
      <c r="W64" s="5">
        <v>27.568</v>
      </c>
      <c r="X64" s="5">
        <v>1</v>
      </c>
      <c r="Y64" s="5">
        <v>27.568</v>
      </c>
      <c r="Z64" s="5">
        <v>27.568</v>
      </c>
      <c r="AA64" s="5">
        <v>1</v>
      </c>
      <c r="AB64" s="5">
        <v>27.568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209</v>
      </c>
      <c r="F65" s="5">
        <f>ROUND(Source!W41,O65)</f>
        <v>0</v>
      </c>
      <c r="G65" s="5" t="s">
        <v>109</v>
      </c>
      <c r="H65" s="5" t="s">
        <v>110</v>
      </c>
      <c r="I65" s="5"/>
      <c r="J65" s="5"/>
      <c r="K65" s="5">
        <v>209</v>
      </c>
      <c r="L65" s="5">
        <v>23</v>
      </c>
      <c r="M65" s="5">
        <v>3</v>
      </c>
      <c r="N65" s="5" t="s">
        <v>3</v>
      </c>
      <c r="O65" s="5">
        <v>2</v>
      </c>
      <c r="P65" s="5">
        <f>ROUND(Source!DO41,O65)</f>
        <v>0</v>
      </c>
      <c r="Q65" s="5"/>
      <c r="R65" s="5"/>
      <c r="S65" s="5"/>
      <c r="T65" s="5"/>
      <c r="U65" s="5"/>
      <c r="V65" s="5"/>
      <c r="W65" s="5">
        <v>0</v>
      </c>
      <c r="X65" s="5">
        <v>1</v>
      </c>
      <c r="Y65" s="5">
        <v>0</v>
      </c>
      <c r="Z65" s="5">
        <v>0</v>
      </c>
      <c r="AA65" s="5">
        <v>1</v>
      </c>
      <c r="AB65" s="5">
        <v>0</v>
      </c>
    </row>
    <row r="66" spans="1:28" ht="12.75">
      <c r="A66" s="5">
        <v>50</v>
      </c>
      <c r="B66" s="5">
        <v>0</v>
      </c>
      <c r="C66" s="5">
        <v>0</v>
      </c>
      <c r="D66" s="5">
        <v>1</v>
      </c>
      <c r="E66" s="5">
        <v>233</v>
      </c>
      <c r="F66" s="5">
        <f>ROUND(Source!BD41,O66)</f>
        <v>0</v>
      </c>
      <c r="G66" s="5" t="s">
        <v>111</v>
      </c>
      <c r="H66" s="5" t="s">
        <v>112</v>
      </c>
      <c r="I66" s="5"/>
      <c r="J66" s="5"/>
      <c r="K66" s="5">
        <v>233</v>
      </c>
      <c r="L66" s="5">
        <v>24</v>
      </c>
      <c r="M66" s="5">
        <v>3</v>
      </c>
      <c r="N66" s="5" t="s">
        <v>3</v>
      </c>
      <c r="O66" s="5">
        <v>2</v>
      </c>
      <c r="P66" s="5">
        <f>ROUND(Source!EV41,O66)</f>
        <v>0</v>
      </c>
      <c r="Q66" s="5"/>
      <c r="R66" s="5"/>
      <c r="S66" s="5"/>
      <c r="T66" s="5"/>
      <c r="U66" s="5"/>
      <c r="V66" s="5"/>
      <c r="W66" s="5">
        <v>0</v>
      </c>
      <c r="X66" s="5">
        <v>1</v>
      </c>
      <c r="Y66" s="5">
        <v>0</v>
      </c>
      <c r="Z66" s="5">
        <v>0</v>
      </c>
      <c r="AA66" s="5">
        <v>1</v>
      </c>
      <c r="AB66" s="5">
        <v>0</v>
      </c>
    </row>
    <row r="67" spans="1:28" ht="12.75">
      <c r="A67" s="5">
        <v>50</v>
      </c>
      <c r="B67" s="5">
        <v>0</v>
      </c>
      <c r="C67" s="5">
        <v>0</v>
      </c>
      <c r="D67" s="5">
        <v>1</v>
      </c>
      <c r="E67" s="5">
        <v>210</v>
      </c>
      <c r="F67" s="5">
        <f>ROUND(Source!X41,O67)</f>
        <v>1907.28</v>
      </c>
      <c r="G67" s="5" t="s">
        <v>113</v>
      </c>
      <c r="H67" s="5" t="s">
        <v>114</v>
      </c>
      <c r="I67" s="5"/>
      <c r="J67" s="5"/>
      <c r="K67" s="5">
        <v>210</v>
      </c>
      <c r="L67" s="5">
        <v>25</v>
      </c>
      <c r="M67" s="5">
        <v>3</v>
      </c>
      <c r="N67" s="5" t="s">
        <v>3</v>
      </c>
      <c r="O67" s="5">
        <v>2</v>
      </c>
      <c r="P67" s="5">
        <f>ROUND(Source!DP41,O67)</f>
        <v>70321.28</v>
      </c>
      <c r="Q67" s="5"/>
      <c r="R67" s="5"/>
      <c r="S67" s="5"/>
      <c r="T67" s="5"/>
      <c r="U67" s="5"/>
      <c r="V67" s="5"/>
      <c r="W67" s="5">
        <v>1907.28</v>
      </c>
      <c r="X67" s="5">
        <v>1</v>
      </c>
      <c r="Y67" s="5">
        <v>1907.28</v>
      </c>
      <c r="Z67" s="5">
        <v>70321.28</v>
      </c>
      <c r="AA67" s="5">
        <v>1</v>
      </c>
      <c r="AB67" s="5">
        <v>70321.28</v>
      </c>
    </row>
    <row r="68" spans="1:28" ht="12.75">
      <c r="A68" s="5">
        <v>50</v>
      </c>
      <c r="B68" s="5">
        <v>0</v>
      </c>
      <c r="C68" s="5">
        <v>0</v>
      </c>
      <c r="D68" s="5">
        <v>1</v>
      </c>
      <c r="E68" s="5">
        <v>211</v>
      </c>
      <c r="F68" s="5">
        <f>ROUND(Source!Y41,O68)</f>
        <v>1312.43</v>
      </c>
      <c r="G68" s="5" t="s">
        <v>115</v>
      </c>
      <c r="H68" s="5" t="s">
        <v>116</v>
      </c>
      <c r="I68" s="5"/>
      <c r="J68" s="5"/>
      <c r="K68" s="5">
        <v>211</v>
      </c>
      <c r="L68" s="5">
        <v>26</v>
      </c>
      <c r="M68" s="5">
        <v>3</v>
      </c>
      <c r="N68" s="5" t="s">
        <v>3</v>
      </c>
      <c r="O68" s="5">
        <v>2</v>
      </c>
      <c r="P68" s="5">
        <f>ROUND(Source!DQ41,O68)</f>
        <v>48389.32</v>
      </c>
      <c r="Q68" s="5"/>
      <c r="R68" s="5"/>
      <c r="S68" s="5"/>
      <c r="T68" s="5"/>
      <c r="U68" s="5"/>
      <c r="V68" s="5"/>
      <c r="W68" s="5">
        <v>1312.43</v>
      </c>
      <c r="X68" s="5">
        <v>1</v>
      </c>
      <c r="Y68" s="5">
        <v>1312.43</v>
      </c>
      <c r="Z68" s="5">
        <v>48389.32</v>
      </c>
      <c r="AA68" s="5">
        <v>1</v>
      </c>
      <c r="AB68" s="5">
        <v>48389.32</v>
      </c>
    </row>
    <row r="69" spans="1:28" ht="12.75">
      <c r="A69" s="5">
        <v>50</v>
      </c>
      <c r="B69" s="5">
        <v>0</v>
      </c>
      <c r="C69" s="5">
        <v>0</v>
      </c>
      <c r="D69" s="5">
        <v>1</v>
      </c>
      <c r="E69" s="5">
        <v>224</v>
      </c>
      <c r="F69" s="5">
        <f>ROUND(Source!AR41,O69)</f>
        <v>10744.1</v>
      </c>
      <c r="G69" s="5" t="s">
        <v>117</v>
      </c>
      <c r="H69" s="5" t="s">
        <v>118</v>
      </c>
      <c r="I69" s="5"/>
      <c r="J69" s="5"/>
      <c r="K69" s="5">
        <v>224</v>
      </c>
      <c r="L69" s="5">
        <v>27</v>
      </c>
      <c r="M69" s="5">
        <v>3</v>
      </c>
      <c r="N69" s="5" t="s">
        <v>3</v>
      </c>
      <c r="O69" s="5">
        <v>2</v>
      </c>
      <c r="P69" s="5">
        <f>ROUND(Source!EJ41,O69)</f>
        <v>242958.3</v>
      </c>
      <c r="Q69" s="5"/>
      <c r="R69" s="5"/>
      <c r="S69" s="5"/>
      <c r="T69" s="5"/>
      <c r="U69" s="5"/>
      <c r="V69" s="5"/>
      <c r="W69" s="5">
        <v>10744.1</v>
      </c>
      <c r="X69" s="5">
        <v>1</v>
      </c>
      <c r="Y69" s="5">
        <v>10744.1</v>
      </c>
      <c r="Z69" s="5">
        <v>242958.3</v>
      </c>
      <c r="AA69" s="5">
        <v>1</v>
      </c>
      <c r="AB69" s="5">
        <v>242958.3</v>
      </c>
    </row>
    <row r="70" spans="1:28" ht="12.75">
      <c r="A70" s="5">
        <v>50</v>
      </c>
      <c r="B70" s="5">
        <v>1</v>
      </c>
      <c r="C70" s="5">
        <v>0</v>
      </c>
      <c r="D70" s="5">
        <v>2</v>
      </c>
      <c r="E70" s="5">
        <v>0</v>
      </c>
      <c r="F70" s="5">
        <f>ROUND(F69,O70)</f>
        <v>10744.1</v>
      </c>
      <c r="G70" s="5" t="s">
        <v>119</v>
      </c>
      <c r="H70" s="5" t="s">
        <v>120</v>
      </c>
      <c r="I70" s="5"/>
      <c r="J70" s="5"/>
      <c r="K70" s="5">
        <v>212</v>
      </c>
      <c r="L70" s="5">
        <v>28</v>
      </c>
      <c r="M70" s="5">
        <v>0</v>
      </c>
      <c r="N70" s="5" t="s">
        <v>3</v>
      </c>
      <c r="O70" s="5">
        <v>2</v>
      </c>
      <c r="P70" s="5">
        <f>ROUND(P69,O70)</f>
        <v>242958.3</v>
      </c>
      <c r="Q70" s="5"/>
      <c r="R70" s="5"/>
      <c r="S70" s="5"/>
      <c r="T70" s="5"/>
      <c r="U70" s="5"/>
      <c r="V70" s="5"/>
      <c r="W70" s="5">
        <v>10744.1</v>
      </c>
      <c r="X70" s="5">
        <v>1</v>
      </c>
      <c r="Y70" s="5">
        <v>10744.1</v>
      </c>
      <c r="Z70" s="5">
        <v>242958.3</v>
      </c>
      <c r="AA70" s="5">
        <v>1</v>
      </c>
      <c r="AB70" s="5">
        <v>242958.3</v>
      </c>
    </row>
    <row r="72" spans="1:88" ht="12.75">
      <c r="A72" s="1">
        <v>4</v>
      </c>
      <c r="B72" s="1">
        <v>1</v>
      </c>
      <c r="C72" s="1"/>
      <c r="D72" s="1">
        <f>ROW(A89)</f>
        <v>89</v>
      </c>
      <c r="E72" s="1"/>
      <c r="F72" s="1" t="s">
        <v>3</v>
      </c>
      <c r="G72" s="1" t="s">
        <v>121</v>
      </c>
      <c r="H72" s="1" t="s">
        <v>3</v>
      </c>
      <c r="I72" s="1">
        <v>0</v>
      </c>
      <c r="J72" s="1"/>
      <c r="K72" s="1">
        <v>-1</v>
      </c>
      <c r="L72" s="1"/>
      <c r="M72" s="1" t="s">
        <v>3</v>
      </c>
      <c r="N72" s="1"/>
      <c r="O72" s="1"/>
      <c r="P72" s="1"/>
      <c r="Q72" s="1"/>
      <c r="R72" s="1"/>
      <c r="S72" s="1">
        <v>0</v>
      </c>
      <c r="T72" s="1">
        <v>0</v>
      </c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06" ht="12.75">
      <c r="A74" s="3">
        <v>52</v>
      </c>
      <c r="B74" s="3">
        <f aca="true" t="shared" si="65" ref="B74:G74">B89</f>
        <v>1</v>
      </c>
      <c r="C74" s="3">
        <f t="shared" si="65"/>
        <v>4</v>
      </c>
      <c r="D74" s="3">
        <f t="shared" si="65"/>
        <v>72</v>
      </c>
      <c r="E74" s="3">
        <f t="shared" si="65"/>
        <v>0</v>
      </c>
      <c r="F74" s="3">
        <f t="shared" si="65"/>
      </c>
      <c r="G74" s="3" t="str">
        <f t="shared" si="65"/>
        <v>Монтажные работы</v>
      </c>
      <c r="H74" s="3"/>
      <c r="I74" s="3"/>
      <c r="J74" s="3"/>
      <c r="K74" s="3"/>
      <c r="L74" s="3"/>
      <c r="M74" s="3"/>
      <c r="N74" s="3"/>
      <c r="O74" s="3">
        <f aca="true" t="shared" si="66" ref="O74:AT74">O89</f>
        <v>17481.83</v>
      </c>
      <c r="P74" s="3">
        <f t="shared" si="66"/>
        <v>15874.82</v>
      </c>
      <c r="Q74" s="3">
        <f t="shared" si="66"/>
        <v>585.39</v>
      </c>
      <c r="R74" s="3">
        <f t="shared" si="66"/>
        <v>30.07</v>
      </c>
      <c r="S74" s="3">
        <f t="shared" si="66"/>
        <v>1021.62</v>
      </c>
      <c r="T74" s="3">
        <f t="shared" si="66"/>
        <v>0</v>
      </c>
      <c r="U74" s="3">
        <f t="shared" si="66"/>
        <v>120.71803</v>
      </c>
      <c r="V74" s="3">
        <f t="shared" si="66"/>
        <v>2.3238125</v>
      </c>
      <c r="W74" s="3">
        <f t="shared" si="66"/>
        <v>0</v>
      </c>
      <c r="X74" s="3">
        <f t="shared" si="66"/>
        <v>1391.39</v>
      </c>
      <c r="Y74" s="3">
        <f t="shared" si="66"/>
        <v>1197.88</v>
      </c>
      <c r="Z74" s="3">
        <f t="shared" si="66"/>
        <v>0</v>
      </c>
      <c r="AA74" s="3">
        <f t="shared" si="66"/>
        <v>0</v>
      </c>
      <c r="AB74" s="3">
        <f t="shared" si="66"/>
        <v>17481.83</v>
      </c>
      <c r="AC74" s="3">
        <f t="shared" si="66"/>
        <v>15874.82</v>
      </c>
      <c r="AD74" s="3">
        <f t="shared" si="66"/>
        <v>585.39</v>
      </c>
      <c r="AE74" s="3">
        <f t="shared" si="66"/>
        <v>30.07</v>
      </c>
      <c r="AF74" s="3">
        <f t="shared" si="66"/>
        <v>1021.62</v>
      </c>
      <c r="AG74" s="3">
        <f t="shared" si="66"/>
        <v>0</v>
      </c>
      <c r="AH74" s="3">
        <f t="shared" si="66"/>
        <v>120.71803</v>
      </c>
      <c r="AI74" s="3">
        <f t="shared" si="66"/>
        <v>2.3238125</v>
      </c>
      <c r="AJ74" s="3">
        <f t="shared" si="66"/>
        <v>0</v>
      </c>
      <c r="AK74" s="3">
        <f t="shared" si="66"/>
        <v>1391.39</v>
      </c>
      <c r="AL74" s="3">
        <f t="shared" si="66"/>
        <v>1197.88</v>
      </c>
      <c r="AM74" s="3">
        <f t="shared" si="66"/>
        <v>0</v>
      </c>
      <c r="AN74" s="3">
        <f t="shared" si="66"/>
        <v>0</v>
      </c>
      <c r="AO74" s="3">
        <f t="shared" si="66"/>
        <v>0</v>
      </c>
      <c r="AP74" s="3">
        <f t="shared" si="66"/>
        <v>0</v>
      </c>
      <c r="AQ74" s="3">
        <f t="shared" si="66"/>
        <v>0</v>
      </c>
      <c r="AR74" s="3">
        <f t="shared" si="66"/>
        <v>20071.1</v>
      </c>
      <c r="AS74" s="3">
        <f t="shared" si="66"/>
        <v>20071.1</v>
      </c>
      <c r="AT74" s="3">
        <f t="shared" si="66"/>
        <v>0</v>
      </c>
      <c r="AU74" s="3">
        <f aca="true" t="shared" si="67" ref="AU74:BZ74">AU89</f>
        <v>0</v>
      </c>
      <c r="AV74" s="3">
        <f t="shared" si="67"/>
        <v>15874.82</v>
      </c>
      <c r="AW74" s="3">
        <f t="shared" si="67"/>
        <v>15874.82</v>
      </c>
      <c r="AX74" s="3">
        <f t="shared" si="67"/>
        <v>0</v>
      </c>
      <c r="AY74" s="3">
        <f t="shared" si="67"/>
        <v>15874.82</v>
      </c>
      <c r="AZ74" s="3">
        <f t="shared" si="67"/>
        <v>0</v>
      </c>
      <c r="BA74" s="3">
        <f t="shared" si="67"/>
        <v>0</v>
      </c>
      <c r="BB74" s="3">
        <f t="shared" si="67"/>
        <v>0</v>
      </c>
      <c r="BC74" s="3">
        <f t="shared" si="67"/>
        <v>0</v>
      </c>
      <c r="BD74" s="3">
        <f t="shared" si="67"/>
        <v>0</v>
      </c>
      <c r="BE74" s="3">
        <f t="shared" si="67"/>
        <v>0</v>
      </c>
      <c r="BF74" s="3">
        <f t="shared" si="67"/>
        <v>0</v>
      </c>
      <c r="BG74" s="3">
        <f t="shared" si="67"/>
        <v>0</v>
      </c>
      <c r="BH74" s="3">
        <f t="shared" si="67"/>
        <v>0</v>
      </c>
      <c r="BI74" s="3">
        <f t="shared" si="67"/>
        <v>0</v>
      </c>
      <c r="BJ74" s="3">
        <f t="shared" si="67"/>
        <v>0</v>
      </c>
      <c r="BK74" s="3">
        <f t="shared" si="67"/>
        <v>0</v>
      </c>
      <c r="BL74" s="3">
        <f t="shared" si="67"/>
        <v>0</v>
      </c>
      <c r="BM74" s="3">
        <f t="shared" si="67"/>
        <v>0</v>
      </c>
      <c r="BN74" s="3">
        <f t="shared" si="67"/>
        <v>0</v>
      </c>
      <c r="BO74" s="3">
        <f t="shared" si="67"/>
        <v>0</v>
      </c>
      <c r="BP74" s="3">
        <f t="shared" si="67"/>
        <v>0</v>
      </c>
      <c r="BQ74" s="3">
        <f t="shared" si="67"/>
        <v>0</v>
      </c>
      <c r="BR74" s="3">
        <f t="shared" si="67"/>
        <v>0</v>
      </c>
      <c r="BS74" s="3">
        <f t="shared" si="67"/>
        <v>0</v>
      </c>
      <c r="BT74" s="3">
        <f t="shared" si="67"/>
        <v>0</v>
      </c>
      <c r="BU74" s="3">
        <f t="shared" si="67"/>
        <v>0</v>
      </c>
      <c r="BV74" s="3">
        <f t="shared" si="67"/>
        <v>0</v>
      </c>
      <c r="BW74" s="3">
        <f t="shared" si="67"/>
        <v>0</v>
      </c>
      <c r="BX74" s="3">
        <f t="shared" si="67"/>
        <v>0</v>
      </c>
      <c r="BY74" s="3">
        <f t="shared" si="67"/>
        <v>0</v>
      </c>
      <c r="BZ74" s="3">
        <f t="shared" si="67"/>
        <v>0</v>
      </c>
      <c r="CA74" s="3">
        <f aca="true" t="shared" si="68" ref="CA74:DF74">CA89</f>
        <v>20071.1</v>
      </c>
      <c r="CB74" s="3">
        <f t="shared" si="68"/>
        <v>20071.1</v>
      </c>
      <c r="CC74" s="3">
        <f t="shared" si="68"/>
        <v>0</v>
      </c>
      <c r="CD74" s="3">
        <f t="shared" si="68"/>
        <v>0</v>
      </c>
      <c r="CE74" s="3">
        <f t="shared" si="68"/>
        <v>15874.82</v>
      </c>
      <c r="CF74" s="3">
        <f t="shared" si="68"/>
        <v>15874.82</v>
      </c>
      <c r="CG74" s="3">
        <f t="shared" si="68"/>
        <v>0</v>
      </c>
      <c r="CH74" s="3">
        <f t="shared" si="68"/>
        <v>15874.82</v>
      </c>
      <c r="CI74" s="3">
        <f t="shared" si="68"/>
        <v>0</v>
      </c>
      <c r="CJ74" s="3">
        <f t="shared" si="68"/>
        <v>0</v>
      </c>
      <c r="CK74" s="3">
        <f t="shared" si="68"/>
        <v>0</v>
      </c>
      <c r="CL74" s="3">
        <f t="shared" si="68"/>
        <v>0</v>
      </c>
      <c r="CM74" s="3">
        <f t="shared" si="68"/>
        <v>0</v>
      </c>
      <c r="CN74" s="3">
        <f t="shared" si="68"/>
        <v>0</v>
      </c>
      <c r="CO74" s="3">
        <f t="shared" si="68"/>
        <v>0</v>
      </c>
      <c r="CP74" s="3">
        <f t="shared" si="68"/>
        <v>0</v>
      </c>
      <c r="CQ74" s="3">
        <f t="shared" si="68"/>
        <v>0</v>
      </c>
      <c r="CR74" s="3">
        <f t="shared" si="68"/>
        <v>0</v>
      </c>
      <c r="CS74" s="3">
        <f t="shared" si="68"/>
        <v>0</v>
      </c>
      <c r="CT74" s="3">
        <f t="shared" si="68"/>
        <v>0</v>
      </c>
      <c r="CU74" s="3">
        <f t="shared" si="68"/>
        <v>0</v>
      </c>
      <c r="CV74" s="3">
        <f t="shared" si="68"/>
        <v>0</v>
      </c>
      <c r="CW74" s="3">
        <f t="shared" si="68"/>
        <v>0</v>
      </c>
      <c r="CX74" s="3">
        <f t="shared" si="68"/>
        <v>0</v>
      </c>
      <c r="CY74" s="3">
        <f t="shared" si="68"/>
        <v>0</v>
      </c>
      <c r="CZ74" s="3">
        <f t="shared" si="68"/>
        <v>0</v>
      </c>
      <c r="DA74" s="3">
        <f t="shared" si="68"/>
        <v>0</v>
      </c>
      <c r="DB74" s="3">
        <f t="shared" si="68"/>
        <v>0</v>
      </c>
      <c r="DC74" s="3">
        <f t="shared" si="68"/>
        <v>0</v>
      </c>
      <c r="DD74" s="3">
        <f t="shared" si="68"/>
        <v>0</v>
      </c>
      <c r="DE74" s="3">
        <f t="shared" si="68"/>
        <v>0</v>
      </c>
      <c r="DF74" s="3">
        <f t="shared" si="68"/>
        <v>0</v>
      </c>
      <c r="DG74" s="4">
        <f aca="true" t="shared" si="69" ref="DG74:EL74">DG89</f>
        <v>150897.46</v>
      </c>
      <c r="DH74" s="4">
        <f t="shared" si="69"/>
        <v>105567.55</v>
      </c>
      <c r="DI74" s="4">
        <f t="shared" si="69"/>
        <v>7662.79</v>
      </c>
      <c r="DJ74" s="4">
        <f t="shared" si="69"/>
        <v>1108.66</v>
      </c>
      <c r="DK74" s="4">
        <f t="shared" si="69"/>
        <v>37667.12</v>
      </c>
      <c r="DL74" s="4">
        <f t="shared" si="69"/>
        <v>0</v>
      </c>
      <c r="DM74" s="4">
        <f t="shared" si="69"/>
        <v>120.71803</v>
      </c>
      <c r="DN74" s="4">
        <f t="shared" si="69"/>
        <v>2.3238125</v>
      </c>
      <c r="DO74" s="4">
        <f t="shared" si="69"/>
        <v>0</v>
      </c>
      <c r="DP74" s="4">
        <f t="shared" si="69"/>
        <v>51300.35</v>
      </c>
      <c r="DQ74" s="4">
        <f t="shared" si="69"/>
        <v>44165.61</v>
      </c>
      <c r="DR74" s="4">
        <f t="shared" si="69"/>
        <v>0</v>
      </c>
      <c r="DS74" s="4">
        <f t="shared" si="69"/>
        <v>0</v>
      </c>
      <c r="DT74" s="4">
        <f t="shared" si="69"/>
        <v>150897.46</v>
      </c>
      <c r="DU74" s="4">
        <f t="shared" si="69"/>
        <v>105567.55</v>
      </c>
      <c r="DV74" s="4">
        <f t="shared" si="69"/>
        <v>7662.79</v>
      </c>
      <c r="DW74" s="4">
        <f t="shared" si="69"/>
        <v>1108.66</v>
      </c>
      <c r="DX74" s="4">
        <f t="shared" si="69"/>
        <v>37667.12</v>
      </c>
      <c r="DY74" s="4">
        <f t="shared" si="69"/>
        <v>0</v>
      </c>
      <c r="DZ74" s="4">
        <f t="shared" si="69"/>
        <v>120.71803</v>
      </c>
      <c r="EA74" s="4">
        <f t="shared" si="69"/>
        <v>2.3238125</v>
      </c>
      <c r="EB74" s="4">
        <f t="shared" si="69"/>
        <v>0</v>
      </c>
      <c r="EC74" s="4">
        <f t="shared" si="69"/>
        <v>51300.35</v>
      </c>
      <c r="ED74" s="4">
        <f t="shared" si="69"/>
        <v>44165.61</v>
      </c>
      <c r="EE74" s="4">
        <f t="shared" si="69"/>
        <v>0</v>
      </c>
      <c r="EF74" s="4">
        <f t="shared" si="69"/>
        <v>0</v>
      </c>
      <c r="EG74" s="4">
        <f t="shared" si="69"/>
        <v>0</v>
      </c>
      <c r="EH74" s="4">
        <f t="shared" si="69"/>
        <v>0</v>
      </c>
      <c r="EI74" s="4">
        <f t="shared" si="69"/>
        <v>0</v>
      </c>
      <c r="EJ74" s="4">
        <f t="shared" si="69"/>
        <v>246363.42</v>
      </c>
      <c r="EK74" s="4">
        <f t="shared" si="69"/>
        <v>246363.42</v>
      </c>
      <c r="EL74" s="4">
        <f t="shared" si="69"/>
        <v>0</v>
      </c>
      <c r="EM74" s="4">
        <f aca="true" t="shared" si="70" ref="EM74:FR74">EM89</f>
        <v>0</v>
      </c>
      <c r="EN74" s="4">
        <f t="shared" si="70"/>
        <v>105567.55</v>
      </c>
      <c r="EO74" s="4">
        <f t="shared" si="70"/>
        <v>105567.55</v>
      </c>
      <c r="EP74" s="4">
        <f t="shared" si="70"/>
        <v>0</v>
      </c>
      <c r="EQ74" s="4">
        <f t="shared" si="70"/>
        <v>105567.55</v>
      </c>
      <c r="ER74" s="4">
        <f t="shared" si="70"/>
        <v>0</v>
      </c>
      <c r="ES74" s="4">
        <f t="shared" si="70"/>
        <v>0</v>
      </c>
      <c r="ET74" s="4">
        <f t="shared" si="70"/>
        <v>0</v>
      </c>
      <c r="EU74" s="4">
        <f t="shared" si="70"/>
        <v>0</v>
      </c>
      <c r="EV74" s="4">
        <f t="shared" si="70"/>
        <v>0</v>
      </c>
      <c r="EW74" s="4">
        <f t="shared" si="70"/>
        <v>0</v>
      </c>
      <c r="EX74" s="4">
        <f t="shared" si="70"/>
        <v>0</v>
      </c>
      <c r="EY74" s="4">
        <f t="shared" si="70"/>
        <v>0</v>
      </c>
      <c r="EZ74" s="4">
        <f t="shared" si="70"/>
        <v>0</v>
      </c>
      <c r="FA74" s="4">
        <f t="shared" si="70"/>
        <v>0</v>
      </c>
      <c r="FB74" s="4">
        <f t="shared" si="70"/>
        <v>0</v>
      </c>
      <c r="FC74" s="4">
        <f t="shared" si="70"/>
        <v>0</v>
      </c>
      <c r="FD74" s="4">
        <f t="shared" si="70"/>
        <v>0</v>
      </c>
      <c r="FE74" s="4">
        <f t="shared" si="70"/>
        <v>0</v>
      </c>
      <c r="FF74" s="4">
        <f t="shared" si="70"/>
        <v>0</v>
      </c>
      <c r="FG74" s="4">
        <f t="shared" si="70"/>
        <v>0</v>
      </c>
      <c r="FH74" s="4">
        <f t="shared" si="70"/>
        <v>0</v>
      </c>
      <c r="FI74" s="4">
        <f t="shared" si="70"/>
        <v>0</v>
      </c>
      <c r="FJ74" s="4">
        <f t="shared" si="70"/>
        <v>0</v>
      </c>
      <c r="FK74" s="4">
        <f t="shared" si="70"/>
        <v>0</v>
      </c>
      <c r="FL74" s="4">
        <f t="shared" si="70"/>
        <v>0</v>
      </c>
      <c r="FM74" s="4">
        <f t="shared" si="70"/>
        <v>0</v>
      </c>
      <c r="FN74" s="4">
        <f t="shared" si="70"/>
        <v>0</v>
      </c>
      <c r="FO74" s="4">
        <f t="shared" si="70"/>
        <v>0</v>
      </c>
      <c r="FP74" s="4">
        <f t="shared" si="70"/>
        <v>0</v>
      </c>
      <c r="FQ74" s="4">
        <f t="shared" si="70"/>
        <v>0</v>
      </c>
      <c r="FR74" s="4">
        <f t="shared" si="70"/>
        <v>0</v>
      </c>
      <c r="FS74" s="4">
        <f aca="true" t="shared" si="71" ref="FS74:GX74">FS89</f>
        <v>246363.42</v>
      </c>
      <c r="FT74" s="4">
        <f t="shared" si="71"/>
        <v>246363.42</v>
      </c>
      <c r="FU74" s="4">
        <f t="shared" si="71"/>
        <v>0</v>
      </c>
      <c r="FV74" s="4">
        <f t="shared" si="71"/>
        <v>0</v>
      </c>
      <c r="FW74" s="4">
        <f t="shared" si="71"/>
        <v>105567.55</v>
      </c>
      <c r="FX74" s="4">
        <f t="shared" si="71"/>
        <v>105567.55</v>
      </c>
      <c r="FY74" s="4">
        <f t="shared" si="71"/>
        <v>0</v>
      </c>
      <c r="FZ74" s="4">
        <f t="shared" si="71"/>
        <v>105567.55</v>
      </c>
      <c r="GA74" s="4">
        <f t="shared" si="71"/>
        <v>0</v>
      </c>
      <c r="GB74" s="4">
        <f t="shared" si="71"/>
        <v>0</v>
      </c>
      <c r="GC74" s="4">
        <f t="shared" si="71"/>
        <v>0</v>
      </c>
      <c r="GD74" s="4">
        <f t="shared" si="71"/>
        <v>0</v>
      </c>
      <c r="GE74" s="4">
        <f t="shared" si="71"/>
        <v>0</v>
      </c>
      <c r="GF74" s="4">
        <f t="shared" si="71"/>
        <v>0</v>
      </c>
      <c r="GG74" s="4">
        <f t="shared" si="71"/>
        <v>0</v>
      </c>
      <c r="GH74" s="4">
        <f t="shared" si="71"/>
        <v>0</v>
      </c>
      <c r="GI74" s="4">
        <f t="shared" si="71"/>
        <v>0</v>
      </c>
      <c r="GJ74" s="4">
        <f t="shared" si="71"/>
        <v>0</v>
      </c>
      <c r="GK74" s="4">
        <f t="shared" si="71"/>
        <v>0</v>
      </c>
      <c r="GL74" s="4">
        <f t="shared" si="71"/>
        <v>0</v>
      </c>
      <c r="GM74" s="4">
        <f t="shared" si="71"/>
        <v>0</v>
      </c>
      <c r="GN74" s="4">
        <f t="shared" si="71"/>
        <v>0</v>
      </c>
      <c r="GO74" s="4">
        <f t="shared" si="71"/>
        <v>0</v>
      </c>
      <c r="GP74" s="4">
        <f t="shared" si="71"/>
        <v>0</v>
      </c>
      <c r="GQ74" s="4">
        <f t="shared" si="71"/>
        <v>0</v>
      </c>
      <c r="GR74" s="4">
        <f t="shared" si="71"/>
        <v>0</v>
      </c>
      <c r="GS74" s="4">
        <f t="shared" si="71"/>
        <v>0</v>
      </c>
      <c r="GT74" s="4">
        <f t="shared" si="71"/>
        <v>0</v>
      </c>
      <c r="GU74" s="4">
        <f t="shared" si="71"/>
        <v>0</v>
      </c>
      <c r="GV74" s="4">
        <f t="shared" si="71"/>
        <v>0</v>
      </c>
      <c r="GW74" s="4">
        <f t="shared" si="71"/>
        <v>0</v>
      </c>
      <c r="GX74" s="4">
        <f t="shared" si="71"/>
        <v>0</v>
      </c>
    </row>
    <row r="76" spans="1:255" ht="12.75">
      <c r="A76" s="2">
        <v>17</v>
      </c>
      <c r="B76" s="2">
        <v>1</v>
      </c>
      <c r="C76" s="2">
        <f>ROW(SmtRes!A47)</f>
        <v>47</v>
      </c>
      <c r="D76" s="2">
        <f>ROW(EtalonRes!A47)</f>
        <v>47</v>
      </c>
      <c r="E76" s="2" t="s">
        <v>122</v>
      </c>
      <c r="F76" s="2" t="s">
        <v>123</v>
      </c>
      <c r="G76" s="2" t="s">
        <v>124</v>
      </c>
      <c r="H76" s="2" t="s">
        <v>25</v>
      </c>
      <c r="I76" s="2">
        <f>ROUND(149/100,7)</f>
        <v>1.49</v>
      </c>
      <c r="J76" s="2">
        <v>0</v>
      </c>
      <c r="K76" s="2">
        <f>ROUND(149/100,7)</f>
        <v>1.49</v>
      </c>
      <c r="L76" s="2"/>
      <c r="M76" s="2"/>
      <c r="N76" s="2"/>
      <c r="O76" s="2">
        <f aca="true" t="shared" si="72" ref="O76:O87">ROUND(CP76,2)</f>
        <v>4879.6</v>
      </c>
      <c r="P76" s="2">
        <f aca="true" t="shared" si="73" ref="P76:P87">ROUND(CQ76*I76,2)</f>
        <v>3731.75</v>
      </c>
      <c r="Q76" s="2">
        <f aca="true" t="shared" si="74" ref="Q76:Q87">ROUND(CR76*I76,2)</f>
        <v>136.01</v>
      </c>
      <c r="R76" s="2">
        <f aca="true" t="shared" si="75" ref="R76:R87">ROUND(CS76*I76,2)</f>
        <v>16.21</v>
      </c>
      <c r="S76" s="2">
        <f aca="true" t="shared" si="76" ref="S76:S87">ROUND(CT76*I76,2)</f>
        <v>1011.84</v>
      </c>
      <c r="T76" s="2">
        <f aca="true" t="shared" si="77" ref="T76:T87">ROUND(CU76*I76,2)</f>
        <v>0</v>
      </c>
      <c r="U76" s="2">
        <f aca="true" t="shared" si="78" ref="U76:U87">CV76*I76</f>
        <v>119.6023</v>
      </c>
      <c r="V76" s="2">
        <f aca="true" t="shared" si="79" ref="V76:V87">CW76*I76</f>
        <v>1.210625</v>
      </c>
      <c r="W76" s="2">
        <f aca="true" t="shared" si="80" ref="W76:W87">ROUND(CX76*I76,2)</f>
        <v>0</v>
      </c>
      <c r="X76" s="2">
        <f aca="true" t="shared" si="81" ref="X76:X87">ROUND(CY76,2)</f>
        <v>1360.11</v>
      </c>
      <c r="Y76" s="2">
        <f aca="true" t="shared" si="82" ref="Y76:Y87">ROUND(CZ76,2)</f>
        <v>1170.95</v>
      </c>
      <c r="Z76" s="2"/>
      <c r="AA76" s="2">
        <v>55468472</v>
      </c>
      <c r="AB76" s="2">
        <f aca="true" t="shared" si="83" ref="AB76:AB87">ROUND((AC76+AD76+AF76),2)</f>
        <v>3274.9</v>
      </c>
      <c r="AC76" s="2">
        <f aca="true" t="shared" si="84" ref="AC76:AC83">ROUND((ES76),2)</f>
        <v>2504.53</v>
      </c>
      <c r="AD76" s="2">
        <f>ROUND(((((ET76*ROUND(1.25,7)))-((EU76*ROUND(1.25,7))))+AE76),2)</f>
        <v>91.28</v>
      </c>
      <c r="AE76" s="2">
        <f>ROUND(((EU76*ROUND(1.25,7))),2)</f>
        <v>10.88</v>
      </c>
      <c r="AF76" s="2">
        <f>ROUND(((EV76*ROUND(1.15,7))),2)</f>
        <v>679.09</v>
      </c>
      <c r="AG76" s="2">
        <f aca="true" t="shared" si="85" ref="AG76:AG87">ROUND((AP76),2)</f>
        <v>0</v>
      </c>
      <c r="AH76" s="2">
        <f>((EW76*ROUND(1.15,7)))</f>
        <v>80.27</v>
      </c>
      <c r="AI76" s="2">
        <f>((EX76*ROUND(1.25,7)))</f>
        <v>0.8125</v>
      </c>
      <c r="AJ76" s="2">
        <f aca="true" t="shared" si="86" ref="AJ76:AJ87">(AS76)</f>
        <v>0</v>
      </c>
      <c r="AK76" s="2">
        <v>3168.06</v>
      </c>
      <c r="AL76" s="2">
        <v>2504.53</v>
      </c>
      <c r="AM76" s="2">
        <v>73.02</v>
      </c>
      <c r="AN76" s="2">
        <v>8.7</v>
      </c>
      <c r="AO76" s="2">
        <v>590.51</v>
      </c>
      <c r="AP76" s="2">
        <v>0</v>
      </c>
      <c r="AQ76" s="2">
        <v>69.8</v>
      </c>
      <c r="AR76" s="2">
        <v>0.65</v>
      </c>
      <c r="AS76" s="2">
        <v>0</v>
      </c>
      <c r="AT76" s="2">
        <v>132.3</v>
      </c>
      <c r="AU76" s="2">
        <v>113.9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125</v>
      </c>
      <c r="BK76" s="2"/>
      <c r="BL76" s="2"/>
      <c r="BM76" s="2">
        <v>27001</v>
      </c>
      <c r="BN76" s="2">
        <v>0</v>
      </c>
      <c r="BO76" s="2" t="s">
        <v>3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147</v>
      </c>
      <c r="CA76" s="2">
        <v>134</v>
      </c>
      <c r="CB76" s="2" t="s">
        <v>3</v>
      </c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366</v>
      </c>
      <c r="CO76" s="2">
        <v>0</v>
      </c>
      <c r="CP76" s="2">
        <f aca="true" t="shared" si="87" ref="CP76:CP87">(P76+Q76+S76)</f>
        <v>4879.6</v>
      </c>
      <c r="CQ76" s="2">
        <f aca="true" t="shared" si="88" ref="CQ76:CQ87">AC76*BC76</f>
        <v>2504.53</v>
      </c>
      <c r="CR76" s="2">
        <f>((((ET76*ROUND(1.25,7)))*BB76-((EU76*ROUND(1.25,7)))*BS76)+AE76*BS76)</f>
        <v>91.27999999999999</v>
      </c>
      <c r="CS76" s="2">
        <f aca="true" t="shared" si="89" ref="CS76:CS87">AE76*BS76</f>
        <v>10.88</v>
      </c>
      <c r="CT76" s="2">
        <f aca="true" t="shared" si="90" ref="CT76:CT87">AF76*BA76</f>
        <v>679.09</v>
      </c>
      <c r="CU76" s="2">
        <f aca="true" t="shared" si="91" ref="CU76:CU87">AG76</f>
        <v>0</v>
      </c>
      <c r="CV76" s="2">
        <f aca="true" t="shared" si="92" ref="CV76:CV87">AH76</f>
        <v>80.27</v>
      </c>
      <c r="CW76" s="2">
        <f aca="true" t="shared" si="93" ref="CW76:CW87">AI76</f>
        <v>0.8125</v>
      </c>
      <c r="CX76" s="2">
        <f aca="true" t="shared" si="94" ref="CX76:CX87">AJ76</f>
        <v>0</v>
      </c>
      <c r="CY76" s="2">
        <f aca="true" t="shared" si="95" ref="CY76:CY87">(((S76+R76)*AT76)/100)</f>
        <v>1360.1101500000002</v>
      </c>
      <c r="CZ76" s="2">
        <f aca="true" t="shared" si="96" ref="CZ76:CZ87">(((S76+R76)*AU76)/100)</f>
        <v>1170.94895</v>
      </c>
      <c r="DA76" s="2"/>
      <c r="DB76" s="2"/>
      <c r="DC76" s="2" t="s">
        <v>3</v>
      </c>
      <c r="DD76" s="2" t="s">
        <v>3</v>
      </c>
      <c r="DE76" s="2" t="s">
        <v>27</v>
      </c>
      <c r="DF76" s="2" t="s">
        <v>27</v>
      </c>
      <c r="DG76" s="2" t="s">
        <v>28</v>
      </c>
      <c r="DH76" s="2" t="s">
        <v>3</v>
      </c>
      <c r="DI76" s="2" t="s">
        <v>28</v>
      </c>
      <c r="DJ76" s="2" t="s">
        <v>27</v>
      </c>
      <c r="DK76" s="2" t="s">
        <v>3</v>
      </c>
      <c r="DL76" s="2" t="s">
        <v>29</v>
      </c>
      <c r="DM76" s="2" t="s">
        <v>30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1003</v>
      </c>
      <c r="DV76" s="2" t="s">
        <v>25</v>
      </c>
      <c r="DW76" s="2" t="s">
        <v>25</v>
      </c>
      <c r="DX76" s="2">
        <v>100</v>
      </c>
      <c r="DY76" s="2"/>
      <c r="DZ76" s="2" t="s">
        <v>3</v>
      </c>
      <c r="EA76" s="2" t="s">
        <v>3</v>
      </c>
      <c r="EB76" s="2" t="s">
        <v>3</v>
      </c>
      <c r="EC76" s="2" t="s">
        <v>3</v>
      </c>
      <c r="ED76" s="2"/>
      <c r="EE76" s="2">
        <v>55471715</v>
      </c>
      <c r="EF76" s="2">
        <v>2</v>
      </c>
      <c r="EG76" s="2" t="s">
        <v>31</v>
      </c>
      <c r="EH76" s="2">
        <v>21</v>
      </c>
      <c r="EI76" s="2" t="s">
        <v>32</v>
      </c>
      <c r="EJ76" s="2">
        <v>1</v>
      </c>
      <c r="EK76" s="2">
        <v>27001</v>
      </c>
      <c r="EL76" s="2" t="s">
        <v>32</v>
      </c>
      <c r="EM76" s="2" t="s">
        <v>33</v>
      </c>
      <c r="EN76" s="2"/>
      <c r="EO76" s="2" t="s">
        <v>34</v>
      </c>
      <c r="EP76" s="2"/>
      <c r="EQ76" s="2">
        <v>0</v>
      </c>
      <c r="ER76" s="2">
        <v>3168.06</v>
      </c>
      <c r="ES76" s="2">
        <v>2504.53</v>
      </c>
      <c r="ET76" s="2">
        <v>73.02</v>
      </c>
      <c r="EU76" s="2">
        <v>8.7</v>
      </c>
      <c r="EV76" s="2">
        <v>590.51</v>
      </c>
      <c r="EW76" s="2">
        <v>69.8</v>
      </c>
      <c r="EX76" s="2">
        <v>0.65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aca="true" t="shared" si="97" ref="FR76:FR87">ROUND(IF(AND(BH76=3,BI76=3),P76,0),2)</f>
        <v>0</v>
      </c>
      <c r="FS76" s="2">
        <v>0</v>
      </c>
      <c r="FT76" s="2"/>
      <c r="FU76" s="2"/>
      <c r="FV76" s="2"/>
      <c r="FW76" s="2"/>
      <c r="FX76" s="2">
        <v>132.3</v>
      </c>
      <c r="FY76" s="2">
        <v>113.9</v>
      </c>
      <c r="FZ76" s="2"/>
      <c r="GA76" s="2" t="s">
        <v>3</v>
      </c>
      <c r="GB76" s="2"/>
      <c r="GC76" s="2"/>
      <c r="GD76" s="2">
        <v>1</v>
      </c>
      <c r="GE76" s="2"/>
      <c r="GF76" s="2">
        <v>2028724672</v>
      </c>
      <c r="GG76" s="2">
        <v>2</v>
      </c>
      <c r="GH76" s="2">
        <v>1</v>
      </c>
      <c r="GI76" s="2">
        <v>-2</v>
      </c>
      <c r="GJ76" s="2">
        <v>0</v>
      </c>
      <c r="GK76" s="2">
        <v>0</v>
      </c>
      <c r="GL76" s="2">
        <f aca="true" t="shared" si="98" ref="GL76:GL87">ROUND(IF(AND(BH76=3,BI76=3,FS76&lt;&gt;0),P76,0),2)</f>
        <v>0</v>
      </c>
      <c r="GM76" s="2">
        <f aca="true" t="shared" si="99" ref="GM76:GM87">ROUND(O76+X76+Y76,2)+GX76</f>
        <v>7410.66</v>
      </c>
      <c r="GN76" s="2">
        <f aca="true" t="shared" si="100" ref="GN76:GN87">IF(OR(BI76=0,BI76=1),ROUND(O76+X76+Y76,2),0)</f>
        <v>7410.66</v>
      </c>
      <c r="GO76" s="2">
        <f aca="true" t="shared" si="101" ref="GO76:GO87">IF(BI76=2,ROUND(O76+X76+Y76,2),0)</f>
        <v>0</v>
      </c>
      <c r="GP76" s="2">
        <f aca="true" t="shared" si="102" ref="GP76:GP87">IF(BI76=4,ROUND(O76+X76+Y76,2)+GX76,0)</f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aca="true" t="shared" si="103" ref="GV76:GV87">ROUND((GT76),2)</f>
        <v>0</v>
      </c>
      <c r="GW76" s="2">
        <v>1</v>
      </c>
      <c r="GX76" s="2">
        <f aca="true" t="shared" si="104" ref="GX76:GX87">ROUND(HC76*I76,2)</f>
        <v>0</v>
      </c>
      <c r="GY76" s="2"/>
      <c r="GZ76" s="2"/>
      <c r="HA76" s="2">
        <v>0</v>
      </c>
      <c r="HB76" s="2">
        <v>0</v>
      </c>
      <c r="HC76" s="2">
        <f aca="true" t="shared" si="105" ref="HC76:HC87">GV76*GW76</f>
        <v>0</v>
      </c>
      <c r="HD76" s="2"/>
      <c r="HE76" s="2" t="s">
        <v>3</v>
      </c>
      <c r="HF76" s="2" t="s">
        <v>3</v>
      </c>
      <c r="HG76" s="2"/>
      <c r="HH76" s="2"/>
      <c r="HI76" s="2"/>
      <c r="HJ76" s="2"/>
      <c r="HK76" s="2"/>
      <c r="HL76" s="2"/>
      <c r="HM76" s="2" t="s">
        <v>3</v>
      </c>
      <c r="HN76" s="2" t="s">
        <v>35</v>
      </c>
      <c r="HO76" s="2" t="s">
        <v>36</v>
      </c>
      <c r="HP76" s="2" t="s">
        <v>32</v>
      </c>
      <c r="HQ76" s="2" t="s">
        <v>32</v>
      </c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45" ht="12.75">
      <c r="A77">
        <v>17</v>
      </c>
      <c r="B77">
        <v>1</v>
      </c>
      <c r="C77">
        <f>ROW(SmtRes!A56)</f>
        <v>56</v>
      </c>
      <c r="D77">
        <f>ROW(EtalonRes!A56)</f>
        <v>56</v>
      </c>
      <c r="E77" t="s">
        <v>122</v>
      </c>
      <c r="F77" t="s">
        <v>123</v>
      </c>
      <c r="G77" t="s">
        <v>124</v>
      </c>
      <c r="H77" t="s">
        <v>25</v>
      </c>
      <c r="I77">
        <f>ROUND(149/100,7)</f>
        <v>1.49</v>
      </c>
      <c r="J77">
        <v>0</v>
      </c>
      <c r="K77">
        <f>ROUND(149/100,7)</f>
        <v>1.49</v>
      </c>
      <c r="O77">
        <f t="shared" si="72"/>
        <v>63903.34</v>
      </c>
      <c r="P77">
        <f t="shared" si="73"/>
        <v>24816.14</v>
      </c>
      <c r="Q77">
        <f t="shared" si="74"/>
        <v>1780.51</v>
      </c>
      <c r="R77">
        <f t="shared" si="75"/>
        <v>597.71</v>
      </c>
      <c r="S77">
        <f t="shared" si="76"/>
        <v>37306.69</v>
      </c>
      <c r="T77">
        <f t="shared" si="77"/>
        <v>0</v>
      </c>
      <c r="U77">
        <f t="shared" si="78"/>
        <v>119.6023</v>
      </c>
      <c r="V77">
        <f t="shared" si="79"/>
        <v>1.210625</v>
      </c>
      <c r="W77">
        <f t="shared" si="80"/>
        <v>0</v>
      </c>
      <c r="X77">
        <f t="shared" si="81"/>
        <v>50147.52</v>
      </c>
      <c r="Y77">
        <f t="shared" si="82"/>
        <v>43173.11</v>
      </c>
      <c r="AA77">
        <v>55468473</v>
      </c>
      <c r="AB77">
        <f t="shared" si="83"/>
        <v>3274.9</v>
      </c>
      <c r="AC77">
        <f t="shared" si="84"/>
        <v>2504.53</v>
      </c>
      <c r="AD77">
        <f>ROUND(((((ET77*ROUND(1.25,7)))-((EU77*ROUND(1.25,7))))+AE77),2)</f>
        <v>91.28</v>
      </c>
      <c r="AE77">
        <f>ROUND(((EU77*ROUND(1.25,7))),2)</f>
        <v>10.88</v>
      </c>
      <c r="AF77">
        <f>ROUND(((EV77*ROUND(1.15,7))),2)</f>
        <v>679.09</v>
      </c>
      <c r="AG77">
        <f t="shared" si="85"/>
        <v>0</v>
      </c>
      <c r="AH77">
        <f>((EW77*ROUND(1.15,7)))</f>
        <v>80.27</v>
      </c>
      <c r="AI77">
        <f>((EX77*ROUND(1.25,7)))</f>
        <v>0.8125</v>
      </c>
      <c r="AJ77">
        <f t="shared" si="86"/>
        <v>0</v>
      </c>
      <c r="AK77">
        <v>3168.06</v>
      </c>
      <c r="AL77">
        <v>2504.53</v>
      </c>
      <c r="AM77">
        <v>73.02</v>
      </c>
      <c r="AN77">
        <v>8.7</v>
      </c>
      <c r="AO77">
        <v>590.51</v>
      </c>
      <c r="AP77">
        <v>0</v>
      </c>
      <c r="AQ77">
        <v>69.8</v>
      </c>
      <c r="AR77">
        <v>0.65</v>
      </c>
      <c r="AS77">
        <v>0</v>
      </c>
      <c r="AT77">
        <v>132.3</v>
      </c>
      <c r="AU77">
        <v>113.9</v>
      </c>
      <c r="AV77">
        <v>1</v>
      </c>
      <c r="AW77">
        <v>1</v>
      </c>
      <c r="AZ77">
        <v>1</v>
      </c>
      <c r="BA77">
        <v>36.87</v>
      </c>
      <c r="BB77">
        <v>13.09</v>
      </c>
      <c r="BC77">
        <v>6.65</v>
      </c>
      <c r="BH77">
        <v>0</v>
      </c>
      <c r="BI77">
        <v>1</v>
      </c>
      <c r="BJ77" t="s">
        <v>125</v>
      </c>
      <c r="BM77">
        <v>27001</v>
      </c>
      <c r="BN77">
        <v>0</v>
      </c>
      <c r="BO77" t="s">
        <v>37</v>
      </c>
      <c r="BP77">
        <v>1</v>
      </c>
      <c r="BQ77">
        <v>2</v>
      </c>
      <c r="BR77">
        <v>0</v>
      </c>
      <c r="BS77">
        <v>36.87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147</v>
      </c>
      <c r="CA77">
        <v>134</v>
      </c>
      <c r="CE77">
        <v>0</v>
      </c>
      <c r="CF77">
        <v>0</v>
      </c>
      <c r="CG77">
        <v>0</v>
      </c>
      <c r="CM77">
        <v>0</v>
      </c>
      <c r="CN77" t="s">
        <v>366</v>
      </c>
      <c r="CO77">
        <v>0</v>
      </c>
      <c r="CP77">
        <f t="shared" si="87"/>
        <v>63903.34</v>
      </c>
      <c r="CQ77">
        <f t="shared" si="88"/>
        <v>16655.1245</v>
      </c>
      <c r="CR77">
        <f>((((ET77*ROUND(1.25,7)))*BB77-((EU77*ROUND(1.25,7)))*BS77)+AE77*BS77)</f>
        <v>1194.9741</v>
      </c>
      <c r="CS77">
        <f t="shared" si="89"/>
        <v>401.1456</v>
      </c>
      <c r="CT77">
        <f t="shared" si="90"/>
        <v>25038.0483</v>
      </c>
      <c r="CU77">
        <f t="shared" si="91"/>
        <v>0</v>
      </c>
      <c r="CV77">
        <f t="shared" si="92"/>
        <v>80.27</v>
      </c>
      <c r="CW77">
        <f t="shared" si="93"/>
        <v>0.8125</v>
      </c>
      <c r="CX77">
        <f t="shared" si="94"/>
        <v>0</v>
      </c>
      <c r="CY77">
        <f t="shared" si="95"/>
        <v>50147.52120000001</v>
      </c>
      <c r="CZ77">
        <f t="shared" si="96"/>
        <v>43173.111600000004</v>
      </c>
      <c r="DE77" t="s">
        <v>27</v>
      </c>
      <c r="DF77" t="s">
        <v>27</v>
      </c>
      <c r="DG77" t="s">
        <v>28</v>
      </c>
      <c r="DI77" t="s">
        <v>28</v>
      </c>
      <c r="DJ77" t="s">
        <v>27</v>
      </c>
      <c r="DL77" t="s">
        <v>29</v>
      </c>
      <c r="DM77" t="s">
        <v>30</v>
      </c>
      <c r="DN77">
        <v>0</v>
      </c>
      <c r="DO77">
        <v>0</v>
      </c>
      <c r="DP77">
        <v>1</v>
      </c>
      <c r="DQ77">
        <v>1</v>
      </c>
      <c r="DU77">
        <v>1003</v>
      </c>
      <c r="DV77" t="s">
        <v>25</v>
      </c>
      <c r="DW77" t="s">
        <v>25</v>
      </c>
      <c r="DX77">
        <v>100</v>
      </c>
      <c r="EE77">
        <v>55471715</v>
      </c>
      <c r="EF77">
        <v>2</v>
      </c>
      <c r="EG77" t="s">
        <v>31</v>
      </c>
      <c r="EH77">
        <v>21</v>
      </c>
      <c r="EI77" t="s">
        <v>32</v>
      </c>
      <c r="EJ77">
        <v>1</v>
      </c>
      <c r="EK77">
        <v>27001</v>
      </c>
      <c r="EL77" t="s">
        <v>32</v>
      </c>
      <c r="EM77" t="s">
        <v>33</v>
      </c>
      <c r="EO77" t="s">
        <v>34</v>
      </c>
      <c r="EQ77">
        <v>0</v>
      </c>
      <c r="ER77">
        <v>3168.06</v>
      </c>
      <c r="ES77">
        <v>2504.53</v>
      </c>
      <c r="ET77">
        <v>73.02</v>
      </c>
      <c r="EU77">
        <v>8.7</v>
      </c>
      <c r="EV77">
        <v>590.51</v>
      </c>
      <c r="EW77">
        <v>69.8</v>
      </c>
      <c r="EX77">
        <v>0.65</v>
      </c>
      <c r="EY77">
        <v>0</v>
      </c>
      <c r="FQ77">
        <v>0</v>
      </c>
      <c r="FR77">
        <f t="shared" si="97"/>
        <v>0</v>
      </c>
      <c r="FS77">
        <v>0</v>
      </c>
      <c r="FX77">
        <v>132.3</v>
      </c>
      <c r="FY77">
        <v>113.9</v>
      </c>
      <c r="GD77">
        <v>1</v>
      </c>
      <c r="GF77">
        <v>2028724672</v>
      </c>
      <c r="GG77">
        <v>2</v>
      </c>
      <c r="GH77">
        <v>1</v>
      </c>
      <c r="GI77">
        <v>4</v>
      </c>
      <c r="GJ77">
        <v>0</v>
      </c>
      <c r="GK77">
        <v>0</v>
      </c>
      <c r="GL77">
        <f t="shared" si="98"/>
        <v>0</v>
      </c>
      <c r="GM77">
        <f t="shared" si="99"/>
        <v>157223.97</v>
      </c>
      <c r="GN77">
        <f t="shared" si="100"/>
        <v>157223.97</v>
      </c>
      <c r="GO77">
        <f t="shared" si="101"/>
        <v>0</v>
      </c>
      <c r="GP77">
        <f t="shared" si="102"/>
        <v>0</v>
      </c>
      <c r="GR77">
        <v>0</v>
      </c>
      <c r="GS77">
        <v>3</v>
      </c>
      <c r="GT77">
        <v>0</v>
      </c>
      <c r="GV77">
        <f t="shared" si="103"/>
        <v>0</v>
      </c>
      <c r="GW77">
        <v>1</v>
      </c>
      <c r="GX77">
        <f t="shared" si="104"/>
        <v>0</v>
      </c>
      <c r="HA77">
        <v>0</v>
      </c>
      <c r="HB77">
        <v>0</v>
      </c>
      <c r="HC77">
        <f t="shared" si="105"/>
        <v>0</v>
      </c>
      <c r="HN77" t="s">
        <v>35</v>
      </c>
      <c r="HO77" t="s">
        <v>36</v>
      </c>
      <c r="HP77" t="s">
        <v>32</v>
      </c>
      <c r="HQ77" t="s">
        <v>32</v>
      </c>
      <c r="IK77">
        <v>0</v>
      </c>
    </row>
    <row r="78" spans="1:255" ht="12.75">
      <c r="A78" s="2">
        <v>18</v>
      </c>
      <c r="B78" s="2">
        <v>1</v>
      </c>
      <c r="C78" s="2">
        <v>46</v>
      </c>
      <c r="D78" s="2"/>
      <c r="E78" s="2" t="s">
        <v>126</v>
      </c>
      <c r="F78" s="2" t="s">
        <v>127</v>
      </c>
      <c r="G78" s="2" t="s">
        <v>128</v>
      </c>
      <c r="H78" s="2" t="s">
        <v>129</v>
      </c>
      <c r="I78" s="2">
        <f>I76*J78</f>
        <v>149</v>
      </c>
      <c r="J78" s="2">
        <v>100</v>
      </c>
      <c r="K78" s="2">
        <v>100</v>
      </c>
      <c r="L78" s="2"/>
      <c r="M78" s="2"/>
      <c r="N78" s="2"/>
      <c r="O78" s="2">
        <f t="shared" si="72"/>
        <v>9404.88</v>
      </c>
      <c r="P78" s="2">
        <f t="shared" si="73"/>
        <v>9404.88</v>
      </c>
      <c r="Q78" s="2">
        <f t="shared" si="74"/>
        <v>0</v>
      </c>
      <c r="R78" s="2">
        <f t="shared" si="75"/>
        <v>0</v>
      </c>
      <c r="S78" s="2">
        <f t="shared" si="76"/>
        <v>0</v>
      </c>
      <c r="T78" s="2">
        <f t="shared" si="77"/>
        <v>0</v>
      </c>
      <c r="U78" s="2">
        <f t="shared" si="78"/>
        <v>0</v>
      </c>
      <c r="V78" s="2">
        <f t="shared" si="79"/>
        <v>0</v>
      </c>
      <c r="W78" s="2">
        <f t="shared" si="80"/>
        <v>0</v>
      </c>
      <c r="X78" s="2">
        <f t="shared" si="81"/>
        <v>0</v>
      </c>
      <c r="Y78" s="2">
        <f t="shared" si="82"/>
        <v>0</v>
      </c>
      <c r="Z78" s="2"/>
      <c r="AA78" s="2">
        <v>55468472</v>
      </c>
      <c r="AB78" s="2">
        <f t="shared" si="83"/>
        <v>63.12</v>
      </c>
      <c r="AC78" s="2">
        <f t="shared" si="84"/>
        <v>63.12</v>
      </c>
      <c r="AD78" s="2">
        <f>ROUND((((ET78)-(EU78))+AE78),2)</f>
        <v>0</v>
      </c>
      <c r="AE78" s="2">
        <f>ROUND((EU78),2)</f>
        <v>0</v>
      </c>
      <c r="AF78" s="2">
        <f>ROUND((EV78),2)</f>
        <v>0</v>
      </c>
      <c r="AG78" s="2">
        <f t="shared" si="85"/>
        <v>0</v>
      </c>
      <c r="AH78" s="2">
        <f>(EW78)</f>
        <v>0</v>
      </c>
      <c r="AI78" s="2">
        <f>(EX78)</f>
        <v>0</v>
      </c>
      <c r="AJ78" s="2">
        <f t="shared" si="86"/>
        <v>0</v>
      </c>
      <c r="AK78" s="2">
        <v>63.12</v>
      </c>
      <c r="AL78" s="2">
        <v>63.12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147</v>
      </c>
      <c r="AU78" s="2">
        <v>134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130</v>
      </c>
      <c r="BK78" s="2"/>
      <c r="BL78" s="2"/>
      <c r="BM78" s="2">
        <v>27001</v>
      </c>
      <c r="BN78" s="2">
        <v>0</v>
      </c>
      <c r="BO78" s="2" t="s">
        <v>3</v>
      </c>
      <c r="BP78" s="2">
        <v>0</v>
      </c>
      <c r="BQ78" s="2">
        <v>2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147</v>
      </c>
      <c r="CA78" s="2">
        <v>134</v>
      </c>
      <c r="CB78" s="2" t="s">
        <v>3</v>
      </c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87"/>
        <v>9404.88</v>
      </c>
      <c r="CQ78" s="2">
        <f t="shared" si="88"/>
        <v>63.12</v>
      </c>
      <c r="CR78" s="2">
        <f>(((ET78)*BB78-(EU78)*BS78)+AE78*BS78)</f>
        <v>0</v>
      </c>
      <c r="CS78" s="2">
        <f t="shared" si="89"/>
        <v>0</v>
      </c>
      <c r="CT78" s="2">
        <f t="shared" si="90"/>
        <v>0</v>
      </c>
      <c r="CU78" s="2">
        <f t="shared" si="91"/>
        <v>0</v>
      </c>
      <c r="CV78" s="2">
        <f t="shared" si="92"/>
        <v>0</v>
      </c>
      <c r="CW78" s="2">
        <f t="shared" si="93"/>
        <v>0</v>
      </c>
      <c r="CX78" s="2">
        <f t="shared" si="94"/>
        <v>0</v>
      </c>
      <c r="CY78" s="2">
        <f t="shared" si="95"/>
        <v>0</v>
      </c>
      <c r="CZ78" s="2">
        <f t="shared" si="96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1013</v>
      </c>
      <c r="DV78" s="2" t="s">
        <v>129</v>
      </c>
      <c r="DW78" s="2" t="s">
        <v>129</v>
      </c>
      <c r="DX78" s="2">
        <v>1</v>
      </c>
      <c r="DY78" s="2"/>
      <c r="DZ78" s="2" t="s">
        <v>3</v>
      </c>
      <c r="EA78" s="2" t="s">
        <v>3</v>
      </c>
      <c r="EB78" s="2" t="s">
        <v>3</v>
      </c>
      <c r="EC78" s="2" t="s">
        <v>3</v>
      </c>
      <c r="ED78" s="2"/>
      <c r="EE78" s="2">
        <v>55471715</v>
      </c>
      <c r="EF78" s="2">
        <v>2</v>
      </c>
      <c r="EG78" s="2" t="s">
        <v>31</v>
      </c>
      <c r="EH78" s="2">
        <v>21</v>
      </c>
      <c r="EI78" s="2" t="s">
        <v>32</v>
      </c>
      <c r="EJ78" s="2">
        <v>1</v>
      </c>
      <c r="EK78" s="2">
        <v>27001</v>
      </c>
      <c r="EL78" s="2" t="s">
        <v>32</v>
      </c>
      <c r="EM78" s="2" t="s">
        <v>33</v>
      </c>
      <c r="EN78" s="2"/>
      <c r="EO78" s="2" t="s">
        <v>3</v>
      </c>
      <c r="EP78" s="2"/>
      <c r="EQ78" s="2">
        <v>0</v>
      </c>
      <c r="ER78" s="2">
        <v>63.12</v>
      </c>
      <c r="ES78" s="2">
        <v>63.12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97"/>
        <v>0</v>
      </c>
      <c r="FS78" s="2">
        <v>0</v>
      </c>
      <c r="FT78" s="2"/>
      <c r="FU78" s="2"/>
      <c r="FV78" s="2"/>
      <c r="FW78" s="2"/>
      <c r="FX78" s="2">
        <v>147</v>
      </c>
      <c r="FY78" s="2">
        <v>134</v>
      </c>
      <c r="FZ78" s="2"/>
      <c r="GA78" s="2" t="s">
        <v>3</v>
      </c>
      <c r="GB78" s="2"/>
      <c r="GC78" s="2"/>
      <c r="GD78" s="2">
        <v>1</v>
      </c>
      <c r="GE78" s="2"/>
      <c r="GF78" s="2">
        <v>1944447477</v>
      </c>
      <c r="GG78" s="2">
        <v>2</v>
      </c>
      <c r="GH78" s="2">
        <v>1</v>
      </c>
      <c r="GI78" s="2">
        <v>-2</v>
      </c>
      <c r="GJ78" s="2">
        <v>0</v>
      </c>
      <c r="GK78" s="2">
        <v>0</v>
      </c>
      <c r="GL78" s="2">
        <f t="shared" si="98"/>
        <v>0</v>
      </c>
      <c r="GM78" s="2">
        <f t="shared" si="99"/>
        <v>9404.88</v>
      </c>
      <c r="GN78" s="2">
        <f t="shared" si="100"/>
        <v>9404.88</v>
      </c>
      <c r="GO78" s="2">
        <f t="shared" si="101"/>
        <v>0</v>
      </c>
      <c r="GP78" s="2">
        <f t="shared" si="102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103"/>
        <v>0</v>
      </c>
      <c r="GW78" s="2">
        <v>1</v>
      </c>
      <c r="GX78" s="2">
        <f t="shared" si="104"/>
        <v>0</v>
      </c>
      <c r="GY78" s="2"/>
      <c r="GZ78" s="2"/>
      <c r="HA78" s="2">
        <v>0</v>
      </c>
      <c r="HB78" s="2">
        <v>0</v>
      </c>
      <c r="HC78" s="2">
        <f t="shared" si="105"/>
        <v>0</v>
      </c>
      <c r="HD78" s="2"/>
      <c r="HE78" s="2" t="s">
        <v>3</v>
      </c>
      <c r="HF78" s="2" t="s">
        <v>3</v>
      </c>
      <c r="HG78" s="2"/>
      <c r="HH78" s="2"/>
      <c r="HI78" s="2"/>
      <c r="HJ78" s="2"/>
      <c r="HK78" s="2"/>
      <c r="HL78" s="2"/>
      <c r="HM78" s="2" t="s">
        <v>3</v>
      </c>
      <c r="HN78" s="2" t="s">
        <v>35</v>
      </c>
      <c r="HO78" s="2" t="s">
        <v>36</v>
      </c>
      <c r="HP78" s="2" t="s">
        <v>32</v>
      </c>
      <c r="HQ78" s="2" t="s">
        <v>32</v>
      </c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45" ht="12.75">
      <c r="A79">
        <v>18</v>
      </c>
      <c r="B79">
        <v>1</v>
      </c>
      <c r="C79">
        <v>55</v>
      </c>
      <c r="E79" t="s">
        <v>126</v>
      </c>
      <c r="F79" t="s">
        <v>127</v>
      </c>
      <c r="G79" t="s">
        <v>128</v>
      </c>
      <c r="H79" t="s">
        <v>129</v>
      </c>
      <c r="I79">
        <f>I77*J79</f>
        <v>149</v>
      </c>
      <c r="J79">
        <v>100</v>
      </c>
      <c r="K79">
        <v>100</v>
      </c>
      <c r="O79">
        <f t="shared" si="72"/>
        <v>62542.45</v>
      </c>
      <c r="P79">
        <f t="shared" si="73"/>
        <v>62542.45</v>
      </c>
      <c r="Q79">
        <f t="shared" si="74"/>
        <v>0</v>
      </c>
      <c r="R79">
        <f t="shared" si="75"/>
        <v>0</v>
      </c>
      <c r="S79">
        <f t="shared" si="76"/>
        <v>0</v>
      </c>
      <c r="T79">
        <f t="shared" si="77"/>
        <v>0</v>
      </c>
      <c r="U79">
        <f t="shared" si="78"/>
        <v>0</v>
      </c>
      <c r="V79">
        <f t="shared" si="79"/>
        <v>0</v>
      </c>
      <c r="W79">
        <f t="shared" si="80"/>
        <v>0</v>
      </c>
      <c r="X79">
        <f t="shared" si="81"/>
        <v>0</v>
      </c>
      <c r="Y79">
        <f t="shared" si="82"/>
        <v>0</v>
      </c>
      <c r="AA79">
        <v>55468473</v>
      </c>
      <c r="AB79">
        <f t="shared" si="83"/>
        <v>63.12</v>
      </c>
      <c r="AC79">
        <f t="shared" si="84"/>
        <v>63.12</v>
      </c>
      <c r="AD79">
        <f>ROUND((((ET79)-(EU79))+AE79),2)</f>
        <v>0</v>
      </c>
      <c r="AE79">
        <f>ROUND((EU79),2)</f>
        <v>0</v>
      </c>
      <c r="AF79">
        <f>ROUND((EV79),2)</f>
        <v>0</v>
      </c>
      <c r="AG79">
        <f t="shared" si="85"/>
        <v>0</v>
      </c>
      <c r="AH79">
        <f>(EW79)</f>
        <v>0</v>
      </c>
      <c r="AI79">
        <f>(EX79)</f>
        <v>0</v>
      </c>
      <c r="AJ79">
        <f t="shared" si="86"/>
        <v>0</v>
      </c>
      <c r="AK79">
        <v>63.12</v>
      </c>
      <c r="AL79">
        <v>63.12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147</v>
      </c>
      <c r="AU79">
        <v>134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6.65</v>
      </c>
      <c r="BH79">
        <v>3</v>
      </c>
      <c r="BI79">
        <v>1</v>
      </c>
      <c r="BJ79" t="s">
        <v>130</v>
      </c>
      <c r="BM79">
        <v>27001</v>
      </c>
      <c r="BN79">
        <v>0</v>
      </c>
      <c r="BO79" t="s">
        <v>37</v>
      </c>
      <c r="BP79">
        <v>1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147</v>
      </c>
      <c r="CA79">
        <v>134</v>
      </c>
      <c r="CE79">
        <v>0</v>
      </c>
      <c r="CF79">
        <v>0</v>
      </c>
      <c r="CG79">
        <v>0</v>
      </c>
      <c r="CM79">
        <v>0</v>
      </c>
      <c r="CO79">
        <v>0</v>
      </c>
      <c r="CP79">
        <f t="shared" si="87"/>
        <v>62542.45</v>
      </c>
      <c r="CQ79">
        <f t="shared" si="88"/>
        <v>419.748</v>
      </c>
      <c r="CR79">
        <f>(((ET79)*BB79-(EU79)*BS79)+AE79*BS79)</f>
        <v>0</v>
      </c>
      <c r="CS79">
        <f t="shared" si="89"/>
        <v>0</v>
      </c>
      <c r="CT79">
        <f t="shared" si="90"/>
        <v>0</v>
      </c>
      <c r="CU79">
        <f t="shared" si="91"/>
        <v>0</v>
      </c>
      <c r="CV79">
        <f t="shared" si="92"/>
        <v>0</v>
      </c>
      <c r="CW79">
        <f t="shared" si="93"/>
        <v>0</v>
      </c>
      <c r="CX79">
        <f t="shared" si="94"/>
        <v>0</v>
      </c>
      <c r="CY79">
        <f t="shared" si="95"/>
        <v>0</v>
      </c>
      <c r="CZ79">
        <f t="shared" si="96"/>
        <v>0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129</v>
      </c>
      <c r="DW79" t="s">
        <v>129</v>
      </c>
      <c r="DX79">
        <v>1</v>
      </c>
      <c r="EE79">
        <v>55471715</v>
      </c>
      <c r="EF79">
        <v>2</v>
      </c>
      <c r="EG79" t="s">
        <v>31</v>
      </c>
      <c r="EH79">
        <v>21</v>
      </c>
      <c r="EI79" t="s">
        <v>32</v>
      </c>
      <c r="EJ79">
        <v>1</v>
      </c>
      <c r="EK79">
        <v>27001</v>
      </c>
      <c r="EL79" t="s">
        <v>32</v>
      </c>
      <c r="EM79" t="s">
        <v>33</v>
      </c>
      <c r="EQ79">
        <v>0</v>
      </c>
      <c r="ER79">
        <v>63.12</v>
      </c>
      <c r="ES79">
        <v>63.12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97"/>
        <v>0</v>
      </c>
      <c r="FS79">
        <v>0</v>
      </c>
      <c r="FX79">
        <v>147</v>
      </c>
      <c r="FY79">
        <v>134</v>
      </c>
      <c r="GD79">
        <v>1</v>
      </c>
      <c r="GF79">
        <v>1944447477</v>
      </c>
      <c r="GG79">
        <v>2</v>
      </c>
      <c r="GH79">
        <v>1</v>
      </c>
      <c r="GI79">
        <v>4</v>
      </c>
      <c r="GJ79">
        <v>0</v>
      </c>
      <c r="GK79">
        <v>0</v>
      </c>
      <c r="GL79">
        <f t="shared" si="98"/>
        <v>0</v>
      </c>
      <c r="GM79">
        <f t="shared" si="99"/>
        <v>62542.45</v>
      </c>
      <c r="GN79">
        <f t="shared" si="100"/>
        <v>62542.45</v>
      </c>
      <c r="GO79">
        <f t="shared" si="101"/>
        <v>0</v>
      </c>
      <c r="GP79">
        <f t="shared" si="102"/>
        <v>0</v>
      </c>
      <c r="GR79">
        <v>0</v>
      </c>
      <c r="GS79">
        <v>0</v>
      </c>
      <c r="GT79">
        <v>0</v>
      </c>
      <c r="GV79">
        <f t="shared" si="103"/>
        <v>0</v>
      </c>
      <c r="GW79">
        <v>1</v>
      </c>
      <c r="GX79">
        <f t="shared" si="104"/>
        <v>0</v>
      </c>
      <c r="HA79">
        <v>0</v>
      </c>
      <c r="HB79">
        <v>0</v>
      </c>
      <c r="HC79">
        <f t="shared" si="105"/>
        <v>0</v>
      </c>
      <c r="HN79" t="s">
        <v>35</v>
      </c>
      <c r="HO79" t="s">
        <v>36</v>
      </c>
      <c r="HP79" t="s">
        <v>32</v>
      </c>
      <c r="HQ79" t="s">
        <v>32</v>
      </c>
      <c r="IK79">
        <v>0</v>
      </c>
    </row>
    <row r="80" spans="1:255" ht="12.75">
      <c r="A80" s="2">
        <v>17</v>
      </c>
      <c r="B80" s="2">
        <v>1</v>
      </c>
      <c r="C80" s="2">
        <f>ROW(SmtRes!A80)</f>
        <v>80</v>
      </c>
      <c r="D80" s="2">
        <f>ROW(EtalonRes!A80)</f>
        <v>80</v>
      </c>
      <c r="E80" s="2" t="s">
        <v>131</v>
      </c>
      <c r="F80" s="2" t="s">
        <v>132</v>
      </c>
      <c r="G80" s="2" t="s">
        <v>133</v>
      </c>
      <c r="H80" s="2" t="s">
        <v>63</v>
      </c>
      <c r="I80" s="2">
        <f>ROUND(45/1000,7)</f>
        <v>0.045</v>
      </c>
      <c r="J80" s="2">
        <v>0</v>
      </c>
      <c r="K80" s="2">
        <f>ROUND(45/1000,7)</f>
        <v>0.045</v>
      </c>
      <c r="L80" s="2"/>
      <c r="M80" s="2"/>
      <c r="N80" s="2"/>
      <c r="O80" s="2">
        <f t="shared" si="72"/>
        <v>469.51</v>
      </c>
      <c r="P80" s="2">
        <f t="shared" si="73"/>
        <v>39.37</v>
      </c>
      <c r="Q80" s="2">
        <f t="shared" si="74"/>
        <v>420.7</v>
      </c>
      <c r="R80" s="2">
        <f t="shared" si="75"/>
        <v>13.19</v>
      </c>
      <c r="S80" s="2">
        <f t="shared" si="76"/>
        <v>9.44</v>
      </c>
      <c r="T80" s="2">
        <f t="shared" si="77"/>
        <v>0</v>
      </c>
      <c r="U80" s="2">
        <f t="shared" si="78"/>
        <v>1.079505</v>
      </c>
      <c r="V80" s="2">
        <f t="shared" si="79"/>
        <v>1.0603125</v>
      </c>
      <c r="W80" s="2">
        <f t="shared" si="80"/>
        <v>0</v>
      </c>
      <c r="X80" s="2">
        <f t="shared" si="81"/>
        <v>29.94</v>
      </c>
      <c r="Y80" s="2">
        <f t="shared" si="82"/>
        <v>25.78</v>
      </c>
      <c r="Z80" s="2"/>
      <c r="AA80" s="2">
        <v>55468472</v>
      </c>
      <c r="AB80" s="2">
        <f t="shared" si="83"/>
        <v>10433.24</v>
      </c>
      <c r="AC80" s="2">
        <f t="shared" si="84"/>
        <v>874.78</v>
      </c>
      <c r="AD80" s="2">
        <f>ROUND(((((ET80*ROUND(1.25,7)))-((EU80*ROUND(1.25,7))))+AE80),2)</f>
        <v>9348.79</v>
      </c>
      <c r="AE80" s="2">
        <f>ROUND(((EU80*ROUND(1.25,7))),2)</f>
        <v>293.08</v>
      </c>
      <c r="AF80" s="2">
        <f>ROUND(((EV80*ROUND(1.15,7))),2)</f>
        <v>209.67</v>
      </c>
      <c r="AG80" s="2">
        <f t="shared" si="85"/>
        <v>0</v>
      </c>
      <c r="AH80" s="2">
        <f>((EW80*ROUND(1.15,7)))</f>
        <v>23.988999999999997</v>
      </c>
      <c r="AI80" s="2">
        <f>((EX80*ROUND(1.25,7)))</f>
        <v>23.5625</v>
      </c>
      <c r="AJ80" s="2">
        <f t="shared" si="86"/>
        <v>0</v>
      </c>
      <c r="AK80" s="2">
        <v>8536.13</v>
      </c>
      <c r="AL80" s="2">
        <v>874.78</v>
      </c>
      <c r="AM80" s="2">
        <v>7479.03</v>
      </c>
      <c r="AN80" s="2">
        <v>234.46</v>
      </c>
      <c r="AO80" s="2">
        <v>182.32</v>
      </c>
      <c r="AP80" s="2">
        <v>0</v>
      </c>
      <c r="AQ80" s="2">
        <v>20.86</v>
      </c>
      <c r="AR80" s="2">
        <v>18.85</v>
      </c>
      <c r="AS80" s="2">
        <v>0</v>
      </c>
      <c r="AT80" s="2">
        <v>132.3</v>
      </c>
      <c r="AU80" s="2">
        <v>113.9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0</v>
      </c>
      <c r="BI80" s="2">
        <v>1</v>
      </c>
      <c r="BJ80" s="2" t="s">
        <v>134</v>
      </c>
      <c r="BK80" s="2"/>
      <c r="BL80" s="2"/>
      <c r="BM80" s="2">
        <v>27001</v>
      </c>
      <c r="BN80" s="2">
        <v>0</v>
      </c>
      <c r="BO80" s="2" t="s">
        <v>3</v>
      </c>
      <c r="BP80" s="2">
        <v>0</v>
      </c>
      <c r="BQ80" s="2">
        <v>2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147</v>
      </c>
      <c r="CA80" s="2">
        <v>134</v>
      </c>
      <c r="CB80" s="2" t="s">
        <v>3</v>
      </c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366</v>
      </c>
      <c r="CO80" s="2">
        <v>0</v>
      </c>
      <c r="CP80" s="2">
        <f t="shared" si="87"/>
        <v>469.51</v>
      </c>
      <c r="CQ80" s="2">
        <f t="shared" si="88"/>
        <v>874.78</v>
      </c>
      <c r="CR80" s="2">
        <f>((((ET80*ROUND(1.25,7)))*BB80-((EU80*ROUND(1.25,7)))*BS80)+AE80*BS80)</f>
        <v>9348.7925</v>
      </c>
      <c r="CS80" s="2">
        <f t="shared" si="89"/>
        <v>293.08</v>
      </c>
      <c r="CT80" s="2">
        <f t="shared" si="90"/>
        <v>209.67</v>
      </c>
      <c r="CU80" s="2">
        <f t="shared" si="91"/>
        <v>0</v>
      </c>
      <c r="CV80" s="2">
        <f t="shared" si="92"/>
        <v>23.988999999999997</v>
      </c>
      <c r="CW80" s="2">
        <f t="shared" si="93"/>
        <v>23.5625</v>
      </c>
      <c r="CX80" s="2">
        <f t="shared" si="94"/>
        <v>0</v>
      </c>
      <c r="CY80" s="2">
        <f t="shared" si="95"/>
        <v>29.93949</v>
      </c>
      <c r="CZ80" s="2">
        <f t="shared" si="96"/>
        <v>25.77557</v>
      </c>
      <c r="DA80" s="2"/>
      <c r="DB80" s="2"/>
      <c r="DC80" s="2" t="s">
        <v>3</v>
      </c>
      <c r="DD80" s="2" t="s">
        <v>3</v>
      </c>
      <c r="DE80" s="2" t="s">
        <v>27</v>
      </c>
      <c r="DF80" s="2" t="s">
        <v>27</v>
      </c>
      <c r="DG80" s="2" t="s">
        <v>28</v>
      </c>
      <c r="DH80" s="2" t="s">
        <v>3</v>
      </c>
      <c r="DI80" s="2" t="s">
        <v>28</v>
      </c>
      <c r="DJ80" s="2" t="s">
        <v>27</v>
      </c>
      <c r="DK80" s="2" t="s">
        <v>3</v>
      </c>
      <c r="DL80" s="2" t="s">
        <v>29</v>
      </c>
      <c r="DM80" s="2" t="s">
        <v>30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1005</v>
      </c>
      <c r="DV80" s="2" t="s">
        <v>63</v>
      </c>
      <c r="DW80" s="2" t="s">
        <v>63</v>
      </c>
      <c r="DX80" s="2">
        <v>1000</v>
      </c>
      <c r="DY80" s="2"/>
      <c r="DZ80" s="2" t="s">
        <v>3</v>
      </c>
      <c r="EA80" s="2" t="s">
        <v>3</v>
      </c>
      <c r="EB80" s="2" t="s">
        <v>3</v>
      </c>
      <c r="EC80" s="2" t="s">
        <v>3</v>
      </c>
      <c r="ED80" s="2"/>
      <c r="EE80" s="2">
        <v>55471715</v>
      </c>
      <c r="EF80" s="2">
        <v>2</v>
      </c>
      <c r="EG80" s="2" t="s">
        <v>31</v>
      </c>
      <c r="EH80" s="2">
        <v>21</v>
      </c>
      <c r="EI80" s="2" t="s">
        <v>32</v>
      </c>
      <c r="EJ80" s="2">
        <v>1</v>
      </c>
      <c r="EK80" s="2">
        <v>27001</v>
      </c>
      <c r="EL80" s="2" t="s">
        <v>32</v>
      </c>
      <c r="EM80" s="2" t="s">
        <v>33</v>
      </c>
      <c r="EN80" s="2"/>
      <c r="EO80" s="2" t="s">
        <v>34</v>
      </c>
      <c r="EP80" s="2"/>
      <c r="EQ80" s="2">
        <v>0</v>
      </c>
      <c r="ER80" s="2">
        <v>8536.13</v>
      </c>
      <c r="ES80" s="2">
        <v>874.78</v>
      </c>
      <c r="ET80" s="2">
        <v>7479.03</v>
      </c>
      <c r="EU80" s="2">
        <v>234.46</v>
      </c>
      <c r="EV80" s="2">
        <v>182.32</v>
      </c>
      <c r="EW80" s="2">
        <v>20.86</v>
      </c>
      <c r="EX80" s="2">
        <v>18.85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97"/>
        <v>0</v>
      </c>
      <c r="FS80" s="2">
        <v>0</v>
      </c>
      <c r="FT80" s="2"/>
      <c r="FU80" s="2"/>
      <c r="FV80" s="2"/>
      <c r="FW80" s="2"/>
      <c r="FX80" s="2">
        <v>132.3</v>
      </c>
      <c r="FY80" s="2">
        <v>113.9</v>
      </c>
      <c r="FZ80" s="2"/>
      <c r="GA80" s="2" t="s">
        <v>3</v>
      </c>
      <c r="GB80" s="2"/>
      <c r="GC80" s="2"/>
      <c r="GD80" s="2">
        <v>1</v>
      </c>
      <c r="GE80" s="2"/>
      <c r="GF80" s="2">
        <v>-1311306559</v>
      </c>
      <c r="GG80" s="2">
        <v>2</v>
      </c>
      <c r="GH80" s="2">
        <v>1</v>
      </c>
      <c r="GI80" s="2">
        <v>-2</v>
      </c>
      <c r="GJ80" s="2">
        <v>0</v>
      </c>
      <c r="GK80" s="2">
        <v>0</v>
      </c>
      <c r="GL80" s="2">
        <f t="shared" si="98"/>
        <v>0</v>
      </c>
      <c r="GM80" s="2">
        <f t="shared" si="99"/>
        <v>525.23</v>
      </c>
      <c r="GN80" s="2">
        <f t="shared" si="100"/>
        <v>525.23</v>
      </c>
      <c r="GO80" s="2">
        <f t="shared" si="101"/>
        <v>0</v>
      </c>
      <c r="GP80" s="2">
        <f t="shared" si="102"/>
        <v>0</v>
      </c>
      <c r="GQ80" s="2"/>
      <c r="GR80" s="2">
        <v>0</v>
      </c>
      <c r="GS80" s="2">
        <v>3</v>
      </c>
      <c r="GT80" s="2">
        <v>0</v>
      </c>
      <c r="GU80" s="2" t="s">
        <v>3</v>
      </c>
      <c r="GV80" s="2">
        <f t="shared" si="103"/>
        <v>0</v>
      </c>
      <c r="GW80" s="2">
        <v>1</v>
      </c>
      <c r="GX80" s="2">
        <f t="shared" si="104"/>
        <v>0</v>
      </c>
      <c r="GY80" s="2"/>
      <c r="GZ80" s="2"/>
      <c r="HA80" s="2">
        <v>0</v>
      </c>
      <c r="HB80" s="2">
        <v>0</v>
      </c>
      <c r="HC80" s="2">
        <f t="shared" si="105"/>
        <v>0</v>
      </c>
      <c r="HD80" s="2"/>
      <c r="HE80" s="2" t="s">
        <v>3</v>
      </c>
      <c r="HF80" s="2" t="s">
        <v>3</v>
      </c>
      <c r="HG80" s="2"/>
      <c r="HH80" s="2"/>
      <c r="HI80" s="2"/>
      <c r="HJ80" s="2"/>
      <c r="HK80" s="2"/>
      <c r="HL80" s="2"/>
      <c r="HM80" s="2" t="s">
        <v>3</v>
      </c>
      <c r="HN80" s="2" t="s">
        <v>35</v>
      </c>
      <c r="HO80" s="2" t="s">
        <v>36</v>
      </c>
      <c r="HP80" s="2" t="s">
        <v>32</v>
      </c>
      <c r="HQ80" s="2" t="s">
        <v>32</v>
      </c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45" ht="12.75">
      <c r="A81">
        <v>17</v>
      </c>
      <c r="B81">
        <v>1</v>
      </c>
      <c r="C81">
        <f>ROW(SmtRes!A104)</f>
        <v>104</v>
      </c>
      <c r="D81">
        <f>ROW(EtalonRes!A104)</f>
        <v>104</v>
      </c>
      <c r="E81" t="s">
        <v>131</v>
      </c>
      <c r="F81" t="s">
        <v>132</v>
      </c>
      <c r="G81" t="s">
        <v>133</v>
      </c>
      <c r="H81" t="s">
        <v>63</v>
      </c>
      <c r="I81">
        <f>ROUND(45/1000,7)</f>
        <v>0.045</v>
      </c>
      <c r="J81">
        <v>0</v>
      </c>
      <c r="K81">
        <f>ROUND(45/1000,7)</f>
        <v>0.045</v>
      </c>
      <c r="O81">
        <f t="shared" si="72"/>
        <v>6116.56</v>
      </c>
      <c r="P81">
        <f t="shared" si="73"/>
        <v>261.78</v>
      </c>
      <c r="Q81">
        <f t="shared" si="74"/>
        <v>5506.91</v>
      </c>
      <c r="R81">
        <f t="shared" si="75"/>
        <v>486.26</v>
      </c>
      <c r="S81">
        <f t="shared" si="76"/>
        <v>347.87</v>
      </c>
      <c r="T81">
        <f t="shared" si="77"/>
        <v>0</v>
      </c>
      <c r="U81">
        <f t="shared" si="78"/>
        <v>1.079505</v>
      </c>
      <c r="V81">
        <f t="shared" si="79"/>
        <v>1.0603125</v>
      </c>
      <c r="W81">
        <f t="shared" si="80"/>
        <v>0</v>
      </c>
      <c r="X81">
        <f t="shared" si="81"/>
        <v>1103.55</v>
      </c>
      <c r="Y81">
        <f t="shared" si="82"/>
        <v>950.07</v>
      </c>
      <c r="AA81">
        <v>55468473</v>
      </c>
      <c r="AB81">
        <f t="shared" si="83"/>
        <v>10433.24</v>
      </c>
      <c r="AC81">
        <f t="shared" si="84"/>
        <v>874.78</v>
      </c>
      <c r="AD81">
        <f>ROUND(((((ET81*ROUND(1.25,7)))-((EU81*ROUND(1.25,7))))+AE81),2)</f>
        <v>9348.79</v>
      </c>
      <c r="AE81">
        <f>ROUND(((EU81*ROUND(1.25,7))),2)</f>
        <v>293.08</v>
      </c>
      <c r="AF81">
        <f>ROUND(((EV81*ROUND(1.15,7))),2)</f>
        <v>209.67</v>
      </c>
      <c r="AG81">
        <f t="shared" si="85"/>
        <v>0</v>
      </c>
      <c r="AH81">
        <f>((EW81*ROUND(1.15,7)))</f>
        <v>23.988999999999997</v>
      </c>
      <c r="AI81">
        <f>((EX81*ROUND(1.25,7)))</f>
        <v>23.5625</v>
      </c>
      <c r="AJ81">
        <f t="shared" si="86"/>
        <v>0</v>
      </c>
      <c r="AK81">
        <v>8536.13</v>
      </c>
      <c r="AL81">
        <v>874.78</v>
      </c>
      <c r="AM81">
        <v>7479.03</v>
      </c>
      <c r="AN81">
        <v>234.46</v>
      </c>
      <c r="AO81">
        <v>182.32</v>
      </c>
      <c r="AP81">
        <v>0</v>
      </c>
      <c r="AQ81">
        <v>20.86</v>
      </c>
      <c r="AR81">
        <v>18.85</v>
      </c>
      <c r="AS81">
        <v>0</v>
      </c>
      <c r="AT81">
        <v>132.3</v>
      </c>
      <c r="AU81">
        <v>113.9</v>
      </c>
      <c r="AV81">
        <v>1</v>
      </c>
      <c r="AW81">
        <v>1</v>
      </c>
      <c r="AZ81">
        <v>1</v>
      </c>
      <c r="BA81">
        <v>36.87</v>
      </c>
      <c r="BB81">
        <v>13.09</v>
      </c>
      <c r="BC81">
        <v>6.65</v>
      </c>
      <c r="BH81">
        <v>0</v>
      </c>
      <c r="BI81">
        <v>1</v>
      </c>
      <c r="BJ81" t="s">
        <v>134</v>
      </c>
      <c r="BM81">
        <v>27001</v>
      </c>
      <c r="BN81">
        <v>0</v>
      </c>
      <c r="BO81" t="s">
        <v>37</v>
      </c>
      <c r="BP81">
        <v>1</v>
      </c>
      <c r="BQ81">
        <v>2</v>
      </c>
      <c r="BR81">
        <v>0</v>
      </c>
      <c r="BS81">
        <v>36.87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147</v>
      </c>
      <c r="CA81">
        <v>134</v>
      </c>
      <c r="CE81">
        <v>0</v>
      </c>
      <c r="CF81">
        <v>0</v>
      </c>
      <c r="CG81">
        <v>0</v>
      </c>
      <c r="CM81">
        <v>0</v>
      </c>
      <c r="CN81" t="s">
        <v>366</v>
      </c>
      <c r="CO81">
        <v>0</v>
      </c>
      <c r="CP81">
        <f t="shared" si="87"/>
        <v>6116.5599999999995</v>
      </c>
      <c r="CQ81">
        <f t="shared" si="88"/>
        <v>5817.287</v>
      </c>
      <c r="CR81">
        <f>((((ET81*ROUND(1.25,7)))*BB81-((EU81*ROUND(1.25,7)))*BS81)+AE81*BS81)</f>
        <v>122375.812725</v>
      </c>
      <c r="CS81">
        <f t="shared" si="89"/>
        <v>10805.859599999998</v>
      </c>
      <c r="CT81">
        <f t="shared" si="90"/>
        <v>7730.532899999999</v>
      </c>
      <c r="CU81">
        <f t="shared" si="91"/>
        <v>0</v>
      </c>
      <c r="CV81">
        <f t="shared" si="92"/>
        <v>23.988999999999997</v>
      </c>
      <c r="CW81">
        <f t="shared" si="93"/>
        <v>23.5625</v>
      </c>
      <c r="CX81">
        <f t="shared" si="94"/>
        <v>0</v>
      </c>
      <c r="CY81">
        <f t="shared" si="95"/>
        <v>1103.55399</v>
      </c>
      <c r="CZ81">
        <f t="shared" si="96"/>
        <v>950.0740700000001</v>
      </c>
      <c r="DE81" t="s">
        <v>27</v>
      </c>
      <c r="DF81" t="s">
        <v>27</v>
      </c>
      <c r="DG81" t="s">
        <v>28</v>
      </c>
      <c r="DI81" t="s">
        <v>28</v>
      </c>
      <c r="DJ81" t="s">
        <v>27</v>
      </c>
      <c r="DL81" t="s">
        <v>29</v>
      </c>
      <c r="DM81" t="s">
        <v>30</v>
      </c>
      <c r="DN81">
        <v>0</v>
      </c>
      <c r="DO81">
        <v>0</v>
      </c>
      <c r="DP81">
        <v>1</v>
      </c>
      <c r="DQ81">
        <v>1</v>
      </c>
      <c r="DU81">
        <v>1005</v>
      </c>
      <c r="DV81" t="s">
        <v>63</v>
      </c>
      <c r="DW81" t="s">
        <v>63</v>
      </c>
      <c r="DX81">
        <v>1000</v>
      </c>
      <c r="EE81">
        <v>55471715</v>
      </c>
      <c r="EF81">
        <v>2</v>
      </c>
      <c r="EG81" t="s">
        <v>31</v>
      </c>
      <c r="EH81">
        <v>21</v>
      </c>
      <c r="EI81" t="s">
        <v>32</v>
      </c>
      <c r="EJ81">
        <v>1</v>
      </c>
      <c r="EK81">
        <v>27001</v>
      </c>
      <c r="EL81" t="s">
        <v>32</v>
      </c>
      <c r="EM81" t="s">
        <v>33</v>
      </c>
      <c r="EO81" t="s">
        <v>34</v>
      </c>
      <c r="EQ81">
        <v>0</v>
      </c>
      <c r="ER81">
        <v>8536.13</v>
      </c>
      <c r="ES81">
        <v>874.78</v>
      </c>
      <c r="ET81">
        <v>7479.03</v>
      </c>
      <c r="EU81">
        <v>234.46</v>
      </c>
      <c r="EV81">
        <v>182.32</v>
      </c>
      <c r="EW81">
        <v>20.86</v>
      </c>
      <c r="EX81">
        <v>18.85</v>
      </c>
      <c r="EY81">
        <v>0</v>
      </c>
      <c r="FQ81">
        <v>0</v>
      </c>
      <c r="FR81">
        <f t="shared" si="97"/>
        <v>0</v>
      </c>
      <c r="FS81">
        <v>0</v>
      </c>
      <c r="FX81">
        <v>132.3</v>
      </c>
      <c r="FY81">
        <v>113.9</v>
      </c>
      <c r="GD81">
        <v>1</v>
      </c>
      <c r="GF81">
        <v>-1311306559</v>
      </c>
      <c r="GG81">
        <v>2</v>
      </c>
      <c r="GH81">
        <v>1</v>
      </c>
      <c r="GI81">
        <v>4</v>
      </c>
      <c r="GJ81">
        <v>0</v>
      </c>
      <c r="GK81">
        <v>0</v>
      </c>
      <c r="GL81">
        <f t="shared" si="98"/>
        <v>0</v>
      </c>
      <c r="GM81">
        <f t="shared" si="99"/>
        <v>8170.18</v>
      </c>
      <c r="GN81">
        <f t="shared" si="100"/>
        <v>8170.18</v>
      </c>
      <c r="GO81">
        <f t="shared" si="101"/>
        <v>0</v>
      </c>
      <c r="GP81">
        <f t="shared" si="102"/>
        <v>0</v>
      </c>
      <c r="GR81">
        <v>0</v>
      </c>
      <c r="GS81">
        <v>0</v>
      </c>
      <c r="GT81">
        <v>0</v>
      </c>
      <c r="GV81">
        <f t="shared" si="103"/>
        <v>0</v>
      </c>
      <c r="GW81">
        <v>1</v>
      </c>
      <c r="GX81">
        <f t="shared" si="104"/>
        <v>0</v>
      </c>
      <c r="HA81">
        <v>0</v>
      </c>
      <c r="HB81">
        <v>0</v>
      </c>
      <c r="HC81">
        <f t="shared" si="105"/>
        <v>0</v>
      </c>
      <c r="HN81" t="s">
        <v>35</v>
      </c>
      <c r="HO81" t="s">
        <v>36</v>
      </c>
      <c r="HP81" t="s">
        <v>32</v>
      </c>
      <c r="HQ81" t="s">
        <v>32</v>
      </c>
      <c r="IK81">
        <v>0</v>
      </c>
    </row>
    <row r="82" spans="1:255" ht="12.75">
      <c r="A82" s="2">
        <v>18</v>
      </c>
      <c r="B82" s="2">
        <v>1</v>
      </c>
      <c r="C82" s="2">
        <v>78</v>
      </c>
      <c r="D82" s="2"/>
      <c r="E82" s="2" t="s">
        <v>135</v>
      </c>
      <c r="F82" s="2" t="s">
        <v>136</v>
      </c>
      <c r="G82" s="2" t="s">
        <v>137</v>
      </c>
      <c r="H82" s="2" t="s">
        <v>138</v>
      </c>
      <c r="I82" s="2">
        <f>I80*J82</f>
        <v>4.5</v>
      </c>
      <c r="J82" s="2">
        <v>100</v>
      </c>
      <c r="K82" s="2">
        <v>100</v>
      </c>
      <c r="L82" s="2"/>
      <c r="M82" s="2"/>
      <c r="N82" s="2"/>
      <c r="O82" s="2">
        <f t="shared" si="72"/>
        <v>2160</v>
      </c>
      <c r="P82" s="2">
        <f t="shared" si="73"/>
        <v>2160</v>
      </c>
      <c r="Q82" s="2">
        <f t="shared" si="74"/>
        <v>0</v>
      </c>
      <c r="R82" s="2">
        <f t="shared" si="75"/>
        <v>0</v>
      </c>
      <c r="S82" s="2">
        <f t="shared" si="76"/>
        <v>0</v>
      </c>
      <c r="T82" s="2">
        <f t="shared" si="77"/>
        <v>0</v>
      </c>
      <c r="U82" s="2">
        <f t="shared" si="78"/>
        <v>0</v>
      </c>
      <c r="V82" s="2">
        <f t="shared" si="79"/>
        <v>0</v>
      </c>
      <c r="W82" s="2">
        <f t="shared" si="80"/>
        <v>0</v>
      </c>
      <c r="X82" s="2">
        <f t="shared" si="81"/>
        <v>0</v>
      </c>
      <c r="Y82" s="2">
        <f t="shared" si="82"/>
        <v>0</v>
      </c>
      <c r="Z82" s="2"/>
      <c r="AA82" s="2">
        <v>55468472</v>
      </c>
      <c r="AB82" s="2">
        <f t="shared" si="83"/>
        <v>480</v>
      </c>
      <c r="AC82" s="2">
        <f t="shared" si="84"/>
        <v>480</v>
      </c>
      <c r="AD82" s="2">
        <f>ROUND((((ET82)-(EU82))+AE82),2)</f>
        <v>0</v>
      </c>
      <c r="AE82" s="2">
        <f>ROUND((EU82),2)</f>
        <v>0</v>
      </c>
      <c r="AF82" s="2">
        <f>ROUND((EV82),2)</f>
        <v>0</v>
      </c>
      <c r="AG82" s="2">
        <f t="shared" si="85"/>
        <v>0</v>
      </c>
      <c r="AH82" s="2">
        <f>(EW82)</f>
        <v>0</v>
      </c>
      <c r="AI82" s="2">
        <f>(EX82)</f>
        <v>0</v>
      </c>
      <c r="AJ82" s="2">
        <f t="shared" si="86"/>
        <v>0</v>
      </c>
      <c r="AK82" s="2">
        <v>480</v>
      </c>
      <c r="AL82" s="2">
        <v>480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147</v>
      </c>
      <c r="AU82" s="2">
        <v>134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139</v>
      </c>
      <c r="BK82" s="2"/>
      <c r="BL82" s="2"/>
      <c r="BM82" s="2">
        <v>27001</v>
      </c>
      <c r="BN82" s="2">
        <v>0</v>
      </c>
      <c r="BO82" s="2" t="s">
        <v>3</v>
      </c>
      <c r="BP82" s="2">
        <v>0</v>
      </c>
      <c r="BQ82" s="2">
        <v>2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147</v>
      </c>
      <c r="CA82" s="2">
        <v>134</v>
      </c>
      <c r="CB82" s="2" t="s">
        <v>3</v>
      </c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87"/>
        <v>2160</v>
      </c>
      <c r="CQ82" s="2">
        <f t="shared" si="88"/>
        <v>480</v>
      </c>
      <c r="CR82" s="2">
        <f>(((ET82)*BB82-(EU82)*BS82)+AE82*BS82)</f>
        <v>0</v>
      </c>
      <c r="CS82" s="2">
        <f t="shared" si="89"/>
        <v>0</v>
      </c>
      <c r="CT82" s="2">
        <f t="shared" si="90"/>
        <v>0</v>
      </c>
      <c r="CU82" s="2">
        <f t="shared" si="91"/>
        <v>0</v>
      </c>
      <c r="CV82" s="2">
        <f t="shared" si="92"/>
        <v>0</v>
      </c>
      <c r="CW82" s="2">
        <f t="shared" si="93"/>
        <v>0</v>
      </c>
      <c r="CX82" s="2">
        <f t="shared" si="94"/>
        <v>0</v>
      </c>
      <c r="CY82" s="2">
        <f t="shared" si="95"/>
        <v>0</v>
      </c>
      <c r="CZ82" s="2">
        <f t="shared" si="96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138</v>
      </c>
      <c r="DW82" s="2" t="s">
        <v>138</v>
      </c>
      <c r="DX82" s="2">
        <v>1000</v>
      </c>
      <c r="DY82" s="2"/>
      <c r="DZ82" s="2" t="s">
        <v>3</v>
      </c>
      <c r="EA82" s="2" t="s">
        <v>3</v>
      </c>
      <c r="EB82" s="2" t="s">
        <v>3</v>
      </c>
      <c r="EC82" s="2" t="s">
        <v>3</v>
      </c>
      <c r="ED82" s="2"/>
      <c r="EE82" s="2">
        <v>55471715</v>
      </c>
      <c r="EF82" s="2">
        <v>2</v>
      </c>
      <c r="EG82" s="2" t="s">
        <v>31</v>
      </c>
      <c r="EH82" s="2">
        <v>21</v>
      </c>
      <c r="EI82" s="2" t="s">
        <v>32</v>
      </c>
      <c r="EJ82" s="2">
        <v>1</v>
      </c>
      <c r="EK82" s="2">
        <v>27001</v>
      </c>
      <c r="EL82" s="2" t="s">
        <v>32</v>
      </c>
      <c r="EM82" s="2" t="s">
        <v>33</v>
      </c>
      <c r="EN82" s="2"/>
      <c r="EO82" s="2" t="s">
        <v>3</v>
      </c>
      <c r="EP82" s="2"/>
      <c r="EQ82" s="2">
        <v>0</v>
      </c>
      <c r="ER82" s="2">
        <v>480</v>
      </c>
      <c r="ES82" s="2">
        <v>480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97"/>
        <v>0</v>
      </c>
      <c r="FS82" s="2">
        <v>0</v>
      </c>
      <c r="FT82" s="2"/>
      <c r="FU82" s="2"/>
      <c r="FV82" s="2"/>
      <c r="FW82" s="2"/>
      <c r="FX82" s="2">
        <v>147</v>
      </c>
      <c r="FY82" s="2">
        <v>134</v>
      </c>
      <c r="FZ82" s="2"/>
      <c r="GA82" s="2" t="s">
        <v>3</v>
      </c>
      <c r="GB82" s="2"/>
      <c r="GC82" s="2"/>
      <c r="GD82" s="2">
        <v>1</v>
      </c>
      <c r="GE82" s="2"/>
      <c r="GF82" s="2">
        <v>783068224</v>
      </c>
      <c r="GG82" s="2">
        <v>2</v>
      </c>
      <c r="GH82" s="2">
        <v>1</v>
      </c>
      <c r="GI82" s="2">
        <v>-2</v>
      </c>
      <c r="GJ82" s="2">
        <v>0</v>
      </c>
      <c r="GK82" s="2">
        <v>0</v>
      </c>
      <c r="GL82" s="2">
        <f t="shared" si="98"/>
        <v>0</v>
      </c>
      <c r="GM82" s="2">
        <f t="shared" si="99"/>
        <v>2160</v>
      </c>
      <c r="GN82" s="2">
        <f t="shared" si="100"/>
        <v>2160</v>
      </c>
      <c r="GO82" s="2">
        <f t="shared" si="101"/>
        <v>0</v>
      </c>
      <c r="GP82" s="2">
        <f t="shared" si="102"/>
        <v>0</v>
      </c>
      <c r="GQ82" s="2"/>
      <c r="GR82" s="2">
        <v>0</v>
      </c>
      <c r="GS82" s="2">
        <v>3</v>
      </c>
      <c r="GT82" s="2">
        <v>0</v>
      </c>
      <c r="GU82" s="2" t="s">
        <v>3</v>
      </c>
      <c r="GV82" s="2">
        <f t="shared" si="103"/>
        <v>0</v>
      </c>
      <c r="GW82" s="2">
        <v>1</v>
      </c>
      <c r="GX82" s="2">
        <f t="shared" si="104"/>
        <v>0</v>
      </c>
      <c r="GY82" s="2"/>
      <c r="GZ82" s="2"/>
      <c r="HA82" s="2">
        <v>0</v>
      </c>
      <c r="HB82" s="2">
        <v>0</v>
      </c>
      <c r="HC82" s="2">
        <f t="shared" si="105"/>
        <v>0</v>
      </c>
      <c r="HD82" s="2"/>
      <c r="HE82" s="2" t="s">
        <v>3</v>
      </c>
      <c r="HF82" s="2" t="s">
        <v>3</v>
      </c>
      <c r="HG82" s="2"/>
      <c r="HH82" s="2"/>
      <c r="HI82" s="2"/>
      <c r="HJ82" s="2"/>
      <c r="HK82" s="2"/>
      <c r="HL82" s="2"/>
      <c r="HM82" s="2" t="s">
        <v>3</v>
      </c>
      <c r="HN82" s="2" t="s">
        <v>35</v>
      </c>
      <c r="HO82" s="2" t="s">
        <v>36</v>
      </c>
      <c r="HP82" s="2" t="s">
        <v>32</v>
      </c>
      <c r="HQ82" s="2" t="s">
        <v>32</v>
      </c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45" ht="12.75">
      <c r="A83">
        <v>18</v>
      </c>
      <c r="B83">
        <v>1</v>
      </c>
      <c r="C83">
        <v>102</v>
      </c>
      <c r="E83" t="s">
        <v>135</v>
      </c>
      <c r="F83" t="s">
        <v>136</v>
      </c>
      <c r="G83" t="s">
        <v>137</v>
      </c>
      <c r="H83" t="s">
        <v>138</v>
      </c>
      <c r="I83">
        <f>I81*J83</f>
        <v>4.5</v>
      </c>
      <c r="J83">
        <v>100</v>
      </c>
      <c r="K83">
        <v>100</v>
      </c>
      <c r="O83">
        <f t="shared" si="72"/>
        <v>14364</v>
      </c>
      <c r="P83">
        <f t="shared" si="73"/>
        <v>14364</v>
      </c>
      <c r="Q83">
        <f t="shared" si="74"/>
        <v>0</v>
      </c>
      <c r="R83">
        <f t="shared" si="75"/>
        <v>0</v>
      </c>
      <c r="S83">
        <f t="shared" si="76"/>
        <v>0</v>
      </c>
      <c r="T83">
        <f t="shared" si="77"/>
        <v>0</v>
      </c>
      <c r="U83">
        <f t="shared" si="78"/>
        <v>0</v>
      </c>
      <c r="V83">
        <f t="shared" si="79"/>
        <v>0</v>
      </c>
      <c r="W83">
        <f t="shared" si="80"/>
        <v>0</v>
      </c>
      <c r="X83">
        <f t="shared" si="81"/>
        <v>0</v>
      </c>
      <c r="Y83">
        <f t="shared" si="82"/>
        <v>0</v>
      </c>
      <c r="AA83">
        <v>55468473</v>
      </c>
      <c r="AB83">
        <f t="shared" si="83"/>
        <v>480</v>
      </c>
      <c r="AC83">
        <f t="shared" si="84"/>
        <v>480</v>
      </c>
      <c r="AD83">
        <f>ROUND((((ET83)-(EU83))+AE83),2)</f>
        <v>0</v>
      </c>
      <c r="AE83">
        <f>ROUND((EU83),2)</f>
        <v>0</v>
      </c>
      <c r="AF83">
        <f>ROUND((EV83),2)</f>
        <v>0</v>
      </c>
      <c r="AG83">
        <f t="shared" si="85"/>
        <v>0</v>
      </c>
      <c r="AH83">
        <f>(EW83)</f>
        <v>0</v>
      </c>
      <c r="AI83">
        <f>(EX83)</f>
        <v>0</v>
      </c>
      <c r="AJ83">
        <f t="shared" si="86"/>
        <v>0</v>
      </c>
      <c r="AK83">
        <v>480</v>
      </c>
      <c r="AL83">
        <v>480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147</v>
      </c>
      <c r="AU83">
        <v>134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6.65</v>
      </c>
      <c r="BH83">
        <v>3</v>
      </c>
      <c r="BI83">
        <v>1</v>
      </c>
      <c r="BJ83" t="s">
        <v>139</v>
      </c>
      <c r="BM83">
        <v>27001</v>
      </c>
      <c r="BN83">
        <v>0</v>
      </c>
      <c r="BO83" t="s">
        <v>37</v>
      </c>
      <c r="BP83">
        <v>1</v>
      </c>
      <c r="BQ83">
        <v>2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147</v>
      </c>
      <c r="CA83">
        <v>134</v>
      </c>
      <c r="CE83">
        <v>0</v>
      </c>
      <c r="CF83">
        <v>0</v>
      </c>
      <c r="CG83">
        <v>0</v>
      </c>
      <c r="CM83">
        <v>0</v>
      </c>
      <c r="CO83">
        <v>0</v>
      </c>
      <c r="CP83">
        <f t="shared" si="87"/>
        <v>14364</v>
      </c>
      <c r="CQ83">
        <f t="shared" si="88"/>
        <v>3192</v>
      </c>
      <c r="CR83">
        <f>(((ET83)*BB83-(EU83)*BS83)+AE83*BS83)</f>
        <v>0</v>
      </c>
      <c r="CS83">
        <f t="shared" si="89"/>
        <v>0</v>
      </c>
      <c r="CT83">
        <f t="shared" si="90"/>
        <v>0</v>
      </c>
      <c r="CU83">
        <f t="shared" si="91"/>
        <v>0</v>
      </c>
      <c r="CV83">
        <f t="shared" si="92"/>
        <v>0</v>
      </c>
      <c r="CW83">
        <f t="shared" si="93"/>
        <v>0</v>
      </c>
      <c r="CX83">
        <f t="shared" si="94"/>
        <v>0</v>
      </c>
      <c r="CY83">
        <f t="shared" si="95"/>
        <v>0</v>
      </c>
      <c r="CZ83">
        <f t="shared" si="96"/>
        <v>0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138</v>
      </c>
      <c r="DW83" t="s">
        <v>138</v>
      </c>
      <c r="DX83">
        <v>1000</v>
      </c>
      <c r="EE83">
        <v>55471715</v>
      </c>
      <c r="EF83">
        <v>2</v>
      </c>
      <c r="EG83" t="s">
        <v>31</v>
      </c>
      <c r="EH83">
        <v>21</v>
      </c>
      <c r="EI83" t="s">
        <v>32</v>
      </c>
      <c r="EJ83">
        <v>1</v>
      </c>
      <c r="EK83">
        <v>27001</v>
      </c>
      <c r="EL83" t="s">
        <v>32</v>
      </c>
      <c r="EM83" t="s">
        <v>33</v>
      </c>
      <c r="EQ83">
        <v>0</v>
      </c>
      <c r="ER83">
        <v>480</v>
      </c>
      <c r="ES83">
        <v>480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97"/>
        <v>0</v>
      </c>
      <c r="FS83">
        <v>0</v>
      </c>
      <c r="FX83">
        <v>147</v>
      </c>
      <c r="FY83">
        <v>134</v>
      </c>
      <c r="GD83">
        <v>1</v>
      </c>
      <c r="GF83">
        <v>783068224</v>
      </c>
      <c r="GG83">
        <v>2</v>
      </c>
      <c r="GH83">
        <v>1</v>
      </c>
      <c r="GI83">
        <v>4</v>
      </c>
      <c r="GJ83">
        <v>0</v>
      </c>
      <c r="GK83">
        <v>0</v>
      </c>
      <c r="GL83">
        <f t="shared" si="98"/>
        <v>0</v>
      </c>
      <c r="GM83">
        <f t="shared" si="99"/>
        <v>14364</v>
      </c>
      <c r="GN83">
        <f t="shared" si="100"/>
        <v>14364</v>
      </c>
      <c r="GO83">
        <f t="shared" si="101"/>
        <v>0</v>
      </c>
      <c r="GP83">
        <f t="shared" si="102"/>
        <v>0</v>
      </c>
      <c r="GR83">
        <v>0</v>
      </c>
      <c r="GS83">
        <v>3</v>
      </c>
      <c r="GT83">
        <v>0</v>
      </c>
      <c r="GV83">
        <f t="shared" si="103"/>
        <v>0</v>
      </c>
      <c r="GW83">
        <v>1</v>
      </c>
      <c r="GX83">
        <f t="shared" si="104"/>
        <v>0</v>
      </c>
      <c r="HA83">
        <v>0</v>
      </c>
      <c r="HB83">
        <v>0</v>
      </c>
      <c r="HC83">
        <f t="shared" si="105"/>
        <v>0</v>
      </c>
      <c r="HN83" t="s">
        <v>35</v>
      </c>
      <c r="HO83" t="s">
        <v>36</v>
      </c>
      <c r="HP83" t="s">
        <v>32</v>
      </c>
      <c r="HQ83" t="s">
        <v>32</v>
      </c>
      <c r="IK83">
        <v>0</v>
      </c>
    </row>
    <row r="84" spans="1:255" ht="12.75">
      <c r="A84" s="2">
        <v>17</v>
      </c>
      <c r="B84" s="2">
        <v>1</v>
      </c>
      <c r="C84" s="2">
        <f>ROW(SmtRes!A115)</f>
        <v>115</v>
      </c>
      <c r="D84" s="2">
        <f>ROW(EtalonRes!A115)</f>
        <v>115</v>
      </c>
      <c r="E84" s="2" t="s">
        <v>140</v>
      </c>
      <c r="F84" s="2" t="s">
        <v>141</v>
      </c>
      <c r="G84" s="2" t="s">
        <v>142</v>
      </c>
      <c r="H84" s="2" t="s">
        <v>63</v>
      </c>
      <c r="I84" s="2">
        <f>ROUND(45/1000,7)</f>
        <v>0.045</v>
      </c>
      <c r="J84" s="2">
        <v>0</v>
      </c>
      <c r="K84" s="2">
        <f>ROUND(45/1000,7)</f>
        <v>0.045</v>
      </c>
      <c r="L84" s="2"/>
      <c r="M84" s="2"/>
      <c r="N84" s="2"/>
      <c r="O84" s="2">
        <f t="shared" si="72"/>
        <v>29.28</v>
      </c>
      <c r="P84" s="2">
        <f t="shared" si="73"/>
        <v>0.26</v>
      </c>
      <c r="Q84" s="2">
        <f t="shared" si="74"/>
        <v>28.68</v>
      </c>
      <c r="R84" s="2">
        <f t="shared" si="75"/>
        <v>0.67</v>
      </c>
      <c r="S84" s="2">
        <f t="shared" si="76"/>
        <v>0.34</v>
      </c>
      <c r="T84" s="2">
        <f t="shared" si="77"/>
        <v>0</v>
      </c>
      <c r="U84" s="2">
        <f t="shared" si="78"/>
        <v>0.03622499999999999</v>
      </c>
      <c r="V84" s="2">
        <f t="shared" si="79"/>
        <v>0.05287499999999999</v>
      </c>
      <c r="W84" s="2">
        <f t="shared" si="80"/>
        <v>0</v>
      </c>
      <c r="X84" s="2">
        <f t="shared" si="81"/>
        <v>1.34</v>
      </c>
      <c r="Y84" s="2">
        <f t="shared" si="82"/>
        <v>1.15</v>
      </c>
      <c r="Z84" s="2"/>
      <c r="AA84" s="2">
        <v>55468472</v>
      </c>
      <c r="AB84" s="2">
        <f t="shared" si="83"/>
        <v>650.68</v>
      </c>
      <c r="AC84" s="2">
        <f>ROUND(((ES84*ROUND(2,7))),2)</f>
        <v>5.88</v>
      </c>
      <c r="AD84" s="2">
        <f>ROUND(((((ET84*ROUND((2*1.25),7)))-((EU84*ROUND((2*1.25),7))))+AE84),2)</f>
        <v>637.23</v>
      </c>
      <c r="AE84" s="2">
        <f>ROUND(((EU84*ROUND((2*1.25),7))),2)</f>
        <v>14.88</v>
      </c>
      <c r="AF84" s="2">
        <f>ROUND(((EV84*ROUND((2*1.15),7))),2)</f>
        <v>7.57</v>
      </c>
      <c r="AG84" s="2">
        <f t="shared" si="85"/>
        <v>0</v>
      </c>
      <c r="AH84" s="2">
        <f>((EW84*ROUND((2*1.15),7)))</f>
        <v>0.8049999999999999</v>
      </c>
      <c r="AI84" s="2">
        <f>((EX84*ROUND((2*1.25),7)))</f>
        <v>1.1749999999999998</v>
      </c>
      <c r="AJ84" s="2">
        <f t="shared" si="86"/>
        <v>0</v>
      </c>
      <c r="AK84" s="2">
        <v>261.12</v>
      </c>
      <c r="AL84" s="2">
        <v>2.94</v>
      </c>
      <c r="AM84" s="2">
        <v>254.89</v>
      </c>
      <c r="AN84" s="2">
        <v>5.95</v>
      </c>
      <c r="AO84" s="2">
        <v>3.29</v>
      </c>
      <c r="AP84" s="2">
        <v>0</v>
      </c>
      <c r="AQ84" s="2">
        <v>0.35</v>
      </c>
      <c r="AR84" s="2">
        <v>0.47</v>
      </c>
      <c r="AS84" s="2">
        <v>0</v>
      </c>
      <c r="AT84" s="2">
        <v>132.3</v>
      </c>
      <c r="AU84" s="2">
        <v>113.9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0</v>
      </c>
      <c r="BI84" s="2">
        <v>1</v>
      </c>
      <c r="BJ84" s="2" t="s">
        <v>143</v>
      </c>
      <c r="BK84" s="2"/>
      <c r="BL84" s="2"/>
      <c r="BM84" s="2">
        <v>27001</v>
      </c>
      <c r="BN84" s="2">
        <v>0</v>
      </c>
      <c r="BO84" s="2" t="s">
        <v>3</v>
      </c>
      <c r="BP84" s="2">
        <v>0</v>
      </c>
      <c r="BQ84" s="2">
        <v>2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147</v>
      </c>
      <c r="CA84" s="2">
        <v>134</v>
      </c>
      <c r="CB84" s="2" t="s">
        <v>3</v>
      </c>
      <c r="CC84" s="2"/>
      <c r="CD84" s="2"/>
      <c r="CE84" s="2">
        <v>0</v>
      </c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367</v>
      </c>
      <c r="CO84" s="2">
        <v>0</v>
      </c>
      <c r="CP84" s="2">
        <f t="shared" si="87"/>
        <v>29.28</v>
      </c>
      <c r="CQ84" s="2">
        <f t="shared" si="88"/>
        <v>5.88</v>
      </c>
      <c r="CR84" s="2">
        <f>((((ET84*ROUND((2*1.25),7)))*BB84-((EU84*ROUND((2*1.25),7)))*BS84)+AE84*BS84)</f>
        <v>637.2299999999999</v>
      </c>
      <c r="CS84" s="2">
        <f t="shared" si="89"/>
        <v>14.88</v>
      </c>
      <c r="CT84" s="2">
        <f t="shared" si="90"/>
        <v>7.57</v>
      </c>
      <c r="CU84" s="2">
        <f t="shared" si="91"/>
        <v>0</v>
      </c>
      <c r="CV84" s="2">
        <f t="shared" si="92"/>
        <v>0.8049999999999999</v>
      </c>
      <c r="CW84" s="2">
        <f t="shared" si="93"/>
        <v>1.1749999999999998</v>
      </c>
      <c r="CX84" s="2">
        <f t="shared" si="94"/>
        <v>0</v>
      </c>
      <c r="CY84" s="2">
        <f t="shared" si="95"/>
        <v>1.3362300000000003</v>
      </c>
      <c r="CZ84" s="2">
        <f t="shared" si="96"/>
        <v>1.15039</v>
      </c>
      <c r="DA84" s="2"/>
      <c r="DB84" s="2"/>
      <c r="DC84" s="2" t="s">
        <v>3</v>
      </c>
      <c r="DD84" s="2" t="s">
        <v>144</v>
      </c>
      <c r="DE84" s="2" t="s">
        <v>145</v>
      </c>
      <c r="DF84" s="2" t="s">
        <v>145</v>
      </c>
      <c r="DG84" s="2" t="s">
        <v>146</v>
      </c>
      <c r="DH84" s="2" t="s">
        <v>3</v>
      </c>
      <c r="DI84" s="2" t="s">
        <v>146</v>
      </c>
      <c r="DJ84" s="2" t="s">
        <v>145</v>
      </c>
      <c r="DK84" s="2" t="s">
        <v>3</v>
      </c>
      <c r="DL84" s="2" t="s">
        <v>29</v>
      </c>
      <c r="DM84" s="2" t="s">
        <v>30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1005</v>
      </c>
      <c r="DV84" s="2" t="s">
        <v>63</v>
      </c>
      <c r="DW84" s="2" t="s">
        <v>63</v>
      </c>
      <c r="DX84" s="2">
        <v>1000</v>
      </c>
      <c r="DY84" s="2"/>
      <c r="DZ84" s="2" t="s">
        <v>3</v>
      </c>
      <c r="EA84" s="2" t="s">
        <v>3</v>
      </c>
      <c r="EB84" s="2" t="s">
        <v>3</v>
      </c>
      <c r="EC84" s="2" t="s">
        <v>3</v>
      </c>
      <c r="ED84" s="2"/>
      <c r="EE84" s="2">
        <v>55471715</v>
      </c>
      <c r="EF84" s="2">
        <v>2</v>
      </c>
      <c r="EG84" s="2" t="s">
        <v>31</v>
      </c>
      <c r="EH84" s="2">
        <v>21</v>
      </c>
      <c r="EI84" s="2" t="s">
        <v>32</v>
      </c>
      <c r="EJ84" s="2">
        <v>1</v>
      </c>
      <c r="EK84" s="2">
        <v>27001</v>
      </c>
      <c r="EL84" s="2" t="s">
        <v>32</v>
      </c>
      <c r="EM84" s="2" t="s">
        <v>33</v>
      </c>
      <c r="EN84" s="2"/>
      <c r="EO84" s="2" t="s">
        <v>147</v>
      </c>
      <c r="EP84" s="2"/>
      <c r="EQ84" s="2">
        <v>0</v>
      </c>
      <c r="ER84" s="2">
        <v>261.12</v>
      </c>
      <c r="ES84" s="2">
        <v>2.94</v>
      </c>
      <c r="ET84" s="2">
        <v>254.89</v>
      </c>
      <c r="EU84" s="2">
        <v>5.95</v>
      </c>
      <c r="EV84" s="2">
        <v>3.29</v>
      </c>
      <c r="EW84" s="2">
        <v>0.35</v>
      </c>
      <c r="EX84" s="2">
        <v>0.47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97"/>
        <v>0</v>
      </c>
      <c r="FS84" s="2">
        <v>0</v>
      </c>
      <c r="FT84" s="2"/>
      <c r="FU84" s="2"/>
      <c r="FV84" s="2"/>
      <c r="FW84" s="2"/>
      <c r="FX84" s="2">
        <v>132.3</v>
      </c>
      <c r="FY84" s="2">
        <v>113.9</v>
      </c>
      <c r="FZ84" s="2"/>
      <c r="GA84" s="2" t="s">
        <v>3</v>
      </c>
      <c r="GB84" s="2"/>
      <c r="GC84" s="2"/>
      <c r="GD84" s="2">
        <v>1</v>
      </c>
      <c r="GE84" s="2"/>
      <c r="GF84" s="2">
        <v>-958981135</v>
      </c>
      <c r="GG84" s="2">
        <v>2</v>
      </c>
      <c r="GH84" s="2">
        <v>1</v>
      </c>
      <c r="GI84" s="2">
        <v>-2</v>
      </c>
      <c r="GJ84" s="2">
        <v>0</v>
      </c>
      <c r="GK84" s="2">
        <v>0</v>
      </c>
      <c r="GL84" s="2">
        <f t="shared" si="98"/>
        <v>0</v>
      </c>
      <c r="GM84" s="2">
        <f t="shared" si="99"/>
        <v>31.77</v>
      </c>
      <c r="GN84" s="2">
        <f t="shared" si="100"/>
        <v>31.77</v>
      </c>
      <c r="GO84" s="2">
        <f t="shared" si="101"/>
        <v>0</v>
      </c>
      <c r="GP84" s="2">
        <f t="shared" si="102"/>
        <v>0</v>
      </c>
      <c r="GQ84" s="2"/>
      <c r="GR84" s="2">
        <v>0</v>
      </c>
      <c r="GS84" s="2">
        <v>3</v>
      </c>
      <c r="GT84" s="2">
        <v>0</v>
      </c>
      <c r="GU84" s="2" t="s">
        <v>3</v>
      </c>
      <c r="GV84" s="2">
        <f t="shared" si="103"/>
        <v>0</v>
      </c>
      <c r="GW84" s="2">
        <v>1</v>
      </c>
      <c r="GX84" s="2">
        <f t="shared" si="104"/>
        <v>0</v>
      </c>
      <c r="GY84" s="2"/>
      <c r="GZ84" s="2"/>
      <c r="HA84" s="2">
        <v>0</v>
      </c>
      <c r="HB84" s="2">
        <v>0</v>
      </c>
      <c r="HC84" s="2">
        <f t="shared" si="105"/>
        <v>0</v>
      </c>
      <c r="HD84" s="2"/>
      <c r="HE84" s="2" t="s">
        <v>3</v>
      </c>
      <c r="HF84" s="2" t="s">
        <v>3</v>
      </c>
      <c r="HG84" s="2"/>
      <c r="HH84" s="2"/>
      <c r="HI84" s="2"/>
      <c r="HJ84" s="2"/>
      <c r="HK84" s="2"/>
      <c r="HL84" s="2"/>
      <c r="HM84" s="2" t="s">
        <v>3</v>
      </c>
      <c r="HN84" s="2" t="s">
        <v>35</v>
      </c>
      <c r="HO84" s="2" t="s">
        <v>36</v>
      </c>
      <c r="HP84" s="2" t="s">
        <v>32</v>
      </c>
      <c r="HQ84" s="2" t="s">
        <v>32</v>
      </c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45" ht="12.75">
      <c r="A85">
        <v>17</v>
      </c>
      <c r="B85">
        <v>1</v>
      </c>
      <c r="C85">
        <f>ROW(SmtRes!A126)</f>
        <v>126</v>
      </c>
      <c r="D85">
        <f>ROW(EtalonRes!A126)</f>
        <v>126</v>
      </c>
      <c r="E85" t="s">
        <v>140</v>
      </c>
      <c r="F85" t="s">
        <v>141</v>
      </c>
      <c r="G85" t="s">
        <v>142</v>
      </c>
      <c r="H85" t="s">
        <v>63</v>
      </c>
      <c r="I85">
        <f>ROUND(45/1000,7)</f>
        <v>0.045</v>
      </c>
      <c r="J85">
        <v>0</v>
      </c>
      <c r="K85">
        <f>ROUND(45/1000,7)</f>
        <v>0.045</v>
      </c>
      <c r="O85">
        <f t="shared" si="72"/>
        <v>389.69</v>
      </c>
      <c r="P85">
        <f t="shared" si="73"/>
        <v>1.76</v>
      </c>
      <c r="Q85">
        <f t="shared" si="74"/>
        <v>375.37</v>
      </c>
      <c r="R85">
        <f t="shared" si="75"/>
        <v>24.69</v>
      </c>
      <c r="S85">
        <f t="shared" si="76"/>
        <v>12.56</v>
      </c>
      <c r="T85">
        <f t="shared" si="77"/>
        <v>0</v>
      </c>
      <c r="U85">
        <f t="shared" si="78"/>
        <v>0.03622499999999999</v>
      </c>
      <c r="V85">
        <f t="shared" si="79"/>
        <v>0.05287499999999999</v>
      </c>
      <c r="W85">
        <f t="shared" si="80"/>
        <v>0</v>
      </c>
      <c r="X85">
        <f t="shared" si="81"/>
        <v>49.28</v>
      </c>
      <c r="Y85">
        <f t="shared" si="82"/>
        <v>42.43</v>
      </c>
      <c r="AA85">
        <v>55468473</v>
      </c>
      <c r="AB85">
        <f t="shared" si="83"/>
        <v>650.68</v>
      </c>
      <c r="AC85">
        <f>ROUND(((ES85*ROUND(2,7))),2)</f>
        <v>5.88</v>
      </c>
      <c r="AD85">
        <f>ROUND(((((ET85*ROUND((2*1.25),7)))-((EU85*ROUND((2*1.25),7))))+AE85),2)</f>
        <v>637.23</v>
      </c>
      <c r="AE85">
        <f>ROUND(((EU85*ROUND((2*1.25),7))),2)</f>
        <v>14.88</v>
      </c>
      <c r="AF85">
        <f>ROUND(((EV85*ROUND((2*1.15),7))),2)</f>
        <v>7.57</v>
      </c>
      <c r="AG85">
        <f t="shared" si="85"/>
        <v>0</v>
      </c>
      <c r="AH85">
        <f>((EW85*ROUND((2*1.15),7)))</f>
        <v>0.8049999999999999</v>
      </c>
      <c r="AI85">
        <f>((EX85*ROUND((2*1.25),7)))</f>
        <v>1.1749999999999998</v>
      </c>
      <c r="AJ85">
        <f t="shared" si="86"/>
        <v>0</v>
      </c>
      <c r="AK85">
        <v>261.12</v>
      </c>
      <c r="AL85">
        <v>2.94</v>
      </c>
      <c r="AM85">
        <v>254.89</v>
      </c>
      <c r="AN85">
        <v>5.95</v>
      </c>
      <c r="AO85">
        <v>3.29</v>
      </c>
      <c r="AP85">
        <v>0</v>
      </c>
      <c r="AQ85">
        <v>0.35</v>
      </c>
      <c r="AR85">
        <v>0.47</v>
      </c>
      <c r="AS85">
        <v>0</v>
      </c>
      <c r="AT85">
        <v>132.3</v>
      </c>
      <c r="AU85">
        <v>113.9</v>
      </c>
      <c r="AV85">
        <v>1</v>
      </c>
      <c r="AW85">
        <v>1</v>
      </c>
      <c r="AZ85">
        <v>1</v>
      </c>
      <c r="BA85">
        <v>36.87</v>
      </c>
      <c r="BB85">
        <v>13.09</v>
      </c>
      <c r="BC85">
        <v>6.65</v>
      </c>
      <c r="BH85">
        <v>0</v>
      </c>
      <c r="BI85">
        <v>1</v>
      </c>
      <c r="BJ85" t="s">
        <v>143</v>
      </c>
      <c r="BM85">
        <v>27001</v>
      </c>
      <c r="BN85">
        <v>0</v>
      </c>
      <c r="BO85" t="s">
        <v>37</v>
      </c>
      <c r="BP85">
        <v>1</v>
      </c>
      <c r="BQ85">
        <v>2</v>
      </c>
      <c r="BR85">
        <v>0</v>
      </c>
      <c r="BS85">
        <v>36.87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147</v>
      </c>
      <c r="CA85">
        <v>134</v>
      </c>
      <c r="CE85">
        <v>0</v>
      </c>
      <c r="CF85">
        <v>0</v>
      </c>
      <c r="CG85">
        <v>0</v>
      </c>
      <c r="CM85">
        <v>0</v>
      </c>
      <c r="CN85" t="s">
        <v>367</v>
      </c>
      <c r="CO85">
        <v>0</v>
      </c>
      <c r="CP85">
        <f t="shared" si="87"/>
        <v>389.69</v>
      </c>
      <c r="CQ85">
        <f t="shared" si="88"/>
        <v>39.102000000000004</v>
      </c>
      <c r="CR85">
        <f>((((ET85*ROUND((2*1.25),7)))*BB85-((EU85*ROUND((2*1.25),7)))*BS85)+AE85*BS85)</f>
        <v>8341.459599999998</v>
      </c>
      <c r="CS85">
        <f t="shared" si="89"/>
        <v>548.6256</v>
      </c>
      <c r="CT85">
        <f t="shared" si="90"/>
        <v>279.10589999999996</v>
      </c>
      <c r="CU85">
        <f t="shared" si="91"/>
        <v>0</v>
      </c>
      <c r="CV85">
        <f t="shared" si="92"/>
        <v>0.8049999999999999</v>
      </c>
      <c r="CW85">
        <f t="shared" si="93"/>
        <v>1.1749999999999998</v>
      </c>
      <c r="CX85">
        <f t="shared" si="94"/>
        <v>0</v>
      </c>
      <c r="CY85">
        <f t="shared" si="95"/>
        <v>49.28175</v>
      </c>
      <c r="CZ85">
        <f t="shared" si="96"/>
        <v>42.42775</v>
      </c>
      <c r="DD85" t="s">
        <v>144</v>
      </c>
      <c r="DE85" t="s">
        <v>145</v>
      </c>
      <c r="DF85" t="s">
        <v>145</v>
      </c>
      <c r="DG85" t="s">
        <v>146</v>
      </c>
      <c r="DI85" t="s">
        <v>146</v>
      </c>
      <c r="DJ85" t="s">
        <v>145</v>
      </c>
      <c r="DL85" t="s">
        <v>29</v>
      </c>
      <c r="DM85" t="s">
        <v>30</v>
      </c>
      <c r="DN85">
        <v>0</v>
      </c>
      <c r="DO85">
        <v>0</v>
      </c>
      <c r="DP85">
        <v>1</v>
      </c>
      <c r="DQ85">
        <v>1</v>
      </c>
      <c r="DU85">
        <v>1005</v>
      </c>
      <c r="DV85" t="s">
        <v>63</v>
      </c>
      <c r="DW85" t="s">
        <v>63</v>
      </c>
      <c r="DX85">
        <v>1000</v>
      </c>
      <c r="EE85">
        <v>55471715</v>
      </c>
      <c r="EF85">
        <v>2</v>
      </c>
      <c r="EG85" t="s">
        <v>31</v>
      </c>
      <c r="EH85">
        <v>21</v>
      </c>
      <c r="EI85" t="s">
        <v>32</v>
      </c>
      <c r="EJ85">
        <v>1</v>
      </c>
      <c r="EK85">
        <v>27001</v>
      </c>
      <c r="EL85" t="s">
        <v>32</v>
      </c>
      <c r="EM85" t="s">
        <v>33</v>
      </c>
      <c r="EO85" t="s">
        <v>147</v>
      </c>
      <c r="EQ85">
        <v>0</v>
      </c>
      <c r="ER85">
        <v>261.12</v>
      </c>
      <c r="ES85">
        <v>2.94</v>
      </c>
      <c r="ET85">
        <v>254.89</v>
      </c>
      <c r="EU85">
        <v>5.95</v>
      </c>
      <c r="EV85">
        <v>3.29</v>
      </c>
      <c r="EW85">
        <v>0.35</v>
      </c>
      <c r="EX85">
        <v>0.47</v>
      </c>
      <c r="EY85">
        <v>0</v>
      </c>
      <c r="FQ85">
        <v>0</v>
      </c>
      <c r="FR85">
        <f t="shared" si="97"/>
        <v>0</v>
      </c>
      <c r="FS85">
        <v>0</v>
      </c>
      <c r="FX85">
        <v>132.3</v>
      </c>
      <c r="FY85">
        <v>113.9</v>
      </c>
      <c r="GD85">
        <v>1</v>
      </c>
      <c r="GF85">
        <v>-958981135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98"/>
        <v>0</v>
      </c>
      <c r="GM85">
        <f t="shared" si="99"/>
        <v>481.4</v>
      </c>
      <c r="GN85">
        <f t="shared" si="100"/>
        <v>481.4</v>
      </c>
      <c r="GO85">
        <f t="shared" si="101"/>
        <v>0</v>
      </c>
      <c r="GP85">
        <f t="shared" si="102"/>
        <v>0</v>
      </c>
      <c r="GR85">
        <v>0</v>
      </c>
      <c r="GS85">
        <v>0</v>
      </c>
      <c r="GT85">
        <v>0</v>
      </c>
      <c r="GV85">
        <f t="shared" si="103"/>
        <v>0</v>
      </c>
      <c r="GW85">
        <v>1</v>
      </c>
      <c r="GX85">
        <f t="shared" si="104"/>
        <v>0</v>
      </c>
      <c r="HA85">
        <v>0</v>
      </c>
      <c r="HB85">
        <v>0</v>
      </c>
      <c r="HC85">
        <f t="shared" si="105"/>
        <v>0</v>
      </c>
      <c r="HN85" t="s">
        <v>35</v>
      </c>
      <c r="HO85" t="s">
        <v>36</v>
      </c>
      <c r="HP85" t="s">
        <v>32</v>
      </c>
      <c r="HQ85" t="s">
        <v>32</v>
      </c>
      <c r="IK85">
        <v>0</v>
      </c>
    </row>
    <row r="86" spans="1:255" ht="12.75">
      <c r="A86" s="2">
        <v>18</v>
      </c>
      <c r="B86" s="2">
        <v>1</v>
      </c>
      <c r="C86" s="2">
        <v>115</v>
      </c>
      <c r="D86" s="2"/>
      <c r="E86" s="2" t="s">
        <v>148</v>
      </c>
      <c r="F86" s="2" t="s">
        <v>136</v>
      </c>
      <c r="G86" s="2" t="s">
        <v>137</v>
      </c>
      <c r="H86" s="2" t="s">
        <v>138</v>
      </c>
      <c r="I86" s="2">
        <f>I84*J86</f>
        <v>1.122</v>
      </c>
      <c r="J86" s="2">
        <v>24.933333333333337</v>
      </c>
      <c r="K86" s="2">
        <v>24.933333</v>
      </c>
      <c r="L86" s="2"/>
      <c r="M86" s="2"/>
      <c r="N86" s="2"/>
      <c r="O86" s="2">
        <f t="shared" si="72"/>
        <v>538.56</v>
      </c>
      <c r="P86" s="2">
        <f t="shared" si="73"/>
        <v>538.56</v>
      </c>
      <c r="Q86" s="2">
        <f t="shared" si="74"/>
        <v>0</v>
      </c>
      <c r="R86" s="2">
        <f t="shared" si="75"/>
        <v>0</v>
      </c>
      <c r="S86" s="2">
        <f t="shared" si="76"/>
        <v>0</v>
      </c>
      <c r="T86" s="2">
        <f t="shared" si="77"/>
        <v>0</v>
      </c>
      <c r="U86" s="2">
        <f t="shared" si="78"/>
        <v>0</v>
      </c>
      <c r="V86" s="2">
        <f t="shared" si="79"/>
        <v>0</v>
      </c>
      <c r="W86" s="2">
        <f t="shared" si="80"/>
        <v>0</v>
      </c>
      <c r="X86" s="2">
        <f t="shared" si="81"/>
        <v>0</v>
      </c>
      <c r="Y86" s="2">
        <f t="shared" si="82"/>
        <v>0</v>
      </c>
      <c r="Z86" s="2"/>
      <c r="AA86" s="2">
        <v>55468472</v>
      </c>
      <c r="AB86" s="2">
        <f t="shared" si="83"/>
        <v>480</v>
      </c>
      <c r="AC86" s="2">
        <f>ROUND((ES86),2)</f>
        <v>480</v>
      </c>
      <c r="AD86" s="2">
        <f>ROUND((((ET86)-(EU86))+AE86),2)</f>
        <v>0</v>
      </c>
      <c r="AE86" s="2">
        <f>ROUND((EU86),2)</f>
        <v>0</v>
      </c>
      <c r="AF86" s="2">
        <f>ROUND((EV86),2)</f>
        <v>0</v>
      </c>
      <c r="AG86" s="2">
        <f t="shared" si="85"/>
        <v>0</v>
      </c>
      <c r="AH86" s="2">
        <f>(EW86)</f>
        <v>0</v>
      </c>
      <c r="AI86" s="2">
        <f>(EX86)</f>
        <v>0</v>
      </c>
      <c r="AJ86" s="2">
        <f t="shared" si="86"/>
        <v>0</v>
      </c>
      <c r="AK86" s="2">
        <v>480</v>
      </c>
      <c r="AL86" s="2">
        <v>480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147</v>
      </c>
      <c r="AU86" s="2">
        <v>134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139</v>
      </c>
      <c r="BK86" s="2"/>
      <c r="BL86" s="2"/>
      <c r="BM86" s="2">
        <v>27001</v>
      </c>
      <c r="BN86" s="2">
        <v>0</v>
      </c>
      <c r="BO86" s="2" t="s">
        <v>3</v>
      </c>
      <c r="BP86" s="2">
        <v>0</v>
      </c>
      <c r="BQ86" s="2">
        <v>2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147</v>
      </c>
      <c r="CA86" s="2">
        <v>134</v>
      </c>
      <c r="CB86" s="2" t="s">
        <v>3</v>
      </c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87"/>
        <v>538.56</v>
      </c>
      <c r="CQ86" s="2">
        <f t="shared" si="88"/>
        <v>480</v>
      </c>
      <c r="CR86" s="2">
        <f>(((ET86)*BB86-(EU86)*BS86)+AE86*BS86)</f>
        <v>0</v>
      </c>
      <c r="CS86" s="2">
        <f t="shared" si="89"/>
        <v>0</v>
      </c>
      <c r="CT86" s="2">
        <f t="shared" si="90"/>
        <v>0</v>
      </c>
      <c r="CU86" s="2">
        <f t="shared" si="91"/>
        <v>0</v>
      </c>
      <c r="CV86" s="2">
        <f t="shared" si="92"/>
        <v>0</v>
      </c>
      <c r="CW86" s="2">
        <f t="shared" si="93"/>
        <v>0</v>
      </c>
      <c r="CX86" s="2">
        <f t="shared" si="94"/>
        <v>0</v>
      </c>
      <c r="CY86" s="2">
        <f t="shared" si="95"/>
        <v>0</v>
      </c>
      <c r="CZ86" s="2">
        <f t="shared" si="96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138</v>
      </c>
      <c r="DW86" s="2" t="s">
        <v>138</v>
      </c>
      <c r="DX86" s="2">
        <v>1000</v>
      </c>
      <c r="DY86" s="2"/>
      <c r="DZ86" s="2" t="s">
        <v>3</v>
      </c>
      <c r="EA86" s="2" t="s">
        <v>3</v>
      </c>
      <c r="EB86" s="2" t="s">
        <v>3</v>
      </c>
      <c r="EC86" s="2" t="s">
        <v>3</v>
      </c>
      <c r="ED86" s="2"/>
      <c r="EE86" s="2">
        <v>55471715</v>
      </c>
      <c r="EF86" s="2">
        <v>2</v>
      </c>
      <c r="EG86" s="2" t="s">
        <v>31</v>
      </c>
      <c r="EH86" s="2">
        <v>21</v>
      </c>
      <c r="EI86" s="2" t="s">
        <v>32</v>
      </c>
      <c r="EJ86" s="2">
        <v>1</v>
      </c>
      <c r="EK86" s="2">
        <v>27001</v>
      </c>
      <c r="EL86" s="2" t="s">
        <v>32</v>
      </c>
      <c r="EM86" s="2" t="s">
        <v>33</v>
      </c>
      <c r="EN86" s="2"/>
      <c r="EO86" s="2" t="s">
        <v>3</v>
      </c>
      <c r="EP86" s="2"/>
      <c r="EQ86" s="2">
        <v>0</v>
      </c>
      <c r="ER86" s="2">
        <v>480</v>
      </c>
      <c r="ES86" s="2">
        <v>480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97"/>
        <v>0</v>
      </c>
      <c r="FS86" s="2">
        <v>0</v>
      </c>
      <c r="FT86" s="2"/>
      <c r="FU86" s="2"/>
      <c r="FV86" s="2"/>
      <c r="FW86" s="2"/>
      <c r="FX86" s="2">
        <v>147</v>
      </c>
      <c r="FY86" s="2">
        <v>134</v>
      </c>
      <c r="FZ86" s="2"/>
      <c r="GA86" s="2" t="s">
        <v>3</v>
      </c>
      <c r="GB86" s="2"/>
      <c r="GC86" s="2"/>
      <c r="GD86" s="2">
        <v>1</v>
      </c>
      <c r="GE86" s="2"/>
      <c r="GF86" s="2">
        <v>783068224</v>
      </c>
      <c r="GG86" s="2">
        <v>2</v>
      </c>
      <c r="GH86" s="2">
        <v>1</v>
      </c>
      <c r="GI86" s="2">
        <v>-2</v>
      </c>
      <c r="GJ86" s="2">
        <v>0</v>
      </c>
      <c r="GK86" s="2">
        <v>0</v>
      </c>
      <c r="GL86" s="2">
        <f t="shared" si="98"/>
        <v>0</v>
      </c>
      <c r="GM86" s="2">
        <f t="shared" si="99"/>
        <v>538.56</v>
      </c>
      <c r="GN86" s="2">
        <f t="shared" si="100"/>
        <v>538.56</v>
      </c>
      <c r="GO86" s="2">
        <f t="shared" si="101"/>
        <v>0</v>
      </c>
      <c r="GP86" s="2">
        <f t="shared" si="102"/>
        <v>0</v>
      </c>
      <c r="GQ86" s="2"/>
      <c r="GR86" s="2">
        <v>0</v>
      </c>
      <c r="GS86" s="2">
        <v>3</v>
      </c>
      <c r="GT86" s="2">
        <v>0</v>
      </c>
      <c r="GU86" s="2" t="s">
        <v>3</v>
      </c>
      <c r="GV86" s="2">
        <f t="shared" si="103"/>
        <v>0</v>
      </c>
      <c r="GW86" s="2">
        <v>1</v>
      </c>
      <c r="GX86" s="2">
        <f t="shared" si="104"/>
        <v>0</v>
      </c>
      <c r="GY86" s="2"/>
      <c r="GZ86" s="2"/>
      <c r="HA86" s="2">
        <v>0</v>
      </c>
      <c r="HB86" s="2">
        <v>0</v>
      </c>
      <c r="HC86" s="2">
        <f t="shared" si="105"/>
        <v>0</v>
      </c>
      <c r="HD86" s="2"/>
      <c r="HE86" s="2" t="s">
        <v>3</v>
      </c>
      <c r="HF86" s="2" t="s">
        <v>3</v>
      </c>
      <c r="HG86" s="2"/>
      <c r="HH86" s="2"/>
      <c r="HI86" s="2"/>
      <c r="HJ86" s="2"/>
      <c r="HK86" s="2"/>
      <c r="HL86" s="2"/>
      <c r="HM86" s="2" t="s">
        <v>3</v>
      </c>
      <c r="HN86" s="2" t="s">
        <v>35</v>
      </c>
      <c r="HO86" s="2" t="s">
        <v>36</v>
      </c>
      <c r="HP86" s="2" t="s">
        <v>32</v>
      </c>
      <c r="HQ86" s="2" t="s">
        <v>32</v>
      </c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45" ht="12.75">
      <c r="A87">
        <v>18</v>
      </c>
      <c r="B87">
        <v>1</v>
      </c>
      <c r="C87">
        <v>126</v>
      </c>
      <c r="E87" t="s">
        <v>148</v>
      </c>
      <c r="F87" t="s">
        <v>136</v>
      </c>
      <c r="G87" t="s">
        <v>137</v>
      </c>
      <c r="H87" t="s">
        <v>138</v>
      </c>
      <c r="I87">
        <f>I85*J87</f>
        <v>1.122</v>
      </c>
      <c r="J87">
        <v>24.933333333333337</v>
      </c>
      <c r="K87">
        <v>24.933333</v>
      </c>
      <c r="O87">
        <f t="shared" si="72"/>
        <v>3581.42</v>
      </c>
      <c r="P87">
        <f t="shared" si="73"/>
        <v>3581.42</v>
      </c>
      <c r="Q87">
        <f t="shared" si="74"/>
        <v>0</v>
      </c>
      <c r="R87">
        <f t="shared" si="75"/>
        <v>0</v>
      </c>
      <c r="S87">
        <f t="shared" si="76"/>
        <v>0</v>
      </c>
      <c r="T87">
        <f t="shared" si="77"/>
        <v>0</v>
      </c>
      <c r="U87">
        <f t="shared" si="78"/>
        <v>0</v>
      </c>
      <c r="V87">
        <f t="shared" si="79"/>
        <v>0</v>
      </c>
      <c r="W87">
        <f t="shared" si="80"/>
        <v>0</v>
      </c>
      <c r="X87">
        <f t="shared" si="81"/>
        <v>0</v>
      </c>
      <c r="Y87">
        <f t="shared" si="82"/>
        <v>0</v>
      </c>
      <c r="AA87">
        <v>55468473</v>
      </c>
      <c r="AB87">
        <f t="shared" si="83"/>
        <v>480</v>
      </c>
      <c r="AC87">
        <f>ROUND((ES87),2)</f>
        <v>480</v>
      </c>
      <c r="AD87">
        <f>ROUND((((ET87)-(EU87))+AE87),2)</f>
        <v>0</v>
      </c>
      <c r="AE87">
        <f>ROUND((EU87),2)</f>
        <v>0</v>
      </c>
      <c r="AF87">
        <f>ROUND((EV87),2)</f>
        <v>0</v>
      </c>
      <c r="AG87">
        <f t="shared" si="85"/>
        <v>0</v>
      </c>
      <c r="AH87">
        <f>(EW87)</f>
        <v>0</v>
      </c>
      <c r="AI87">
        <f>(EX87)</f>
        <v>0</v>
      </c>
      <c r="AJ87">
        <f t="shared" si="86"/>
        <v>0</v>
      </c>
      <c r="AK87">
        <v>480</v>
      </c>
      <c r="AL87">
        <v>480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147</v>
      </c>
      <c r="AU87">
        <v>134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6.65</v>
      </c>
      <c r="BH87">
        <v>3</v>
      </c>
      <c r="BI87">
        <v>1</v>
      </c>
      <c r="BJ87" t="s">
        <v>139</v>
      </c>
      <c r="BM87">
        <v>27001</v>
      </c>
      <c r="BN87">
        <v>0</v>
      </c>
      <c r="BO87" t="s">
        <v>37</v>
      </c>
      <c r="BP87">
        <v>1</v>
      </c>
      <c r="BQ87">
        <v>2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147</v>
      </c>
      <c r="CA87">
        <v>134</v>
      </c>
      <c r="CE87">
        <v>0</v>
      </c>
      <c r="CF87">
        <v>0</v>
      </c>
      <c r="CG87">
        <v>0</v>
      </c>
      <c r="CM87">
        <v>0</v>
      </c>
      <c r="CO87">
        <v>0</v>
      </c>
      <c r="CP87">
        <f t="shared" si="87"/>
        <v>3581.42</v>
      </c>
      <c r="CQ87">
        <f t="shared" si="88"/>
        <v>3192</v>
      </c>
      <c r="CR87">
        <f>(((ET87)*BB87-(EU87)*BS87)+AE87*BS87)</f>
        <v>0</v>
      </c>
      <c r="CS87">
        <f t="shared" si="89"/>
        <v>0</v>
      </c>
      <c r="CT87">
        <f t="shared" si="90"/>
        <v>0</v>
      </c>
      <c r="CU87">
        <f t="shared" si="91"/>
        <v>0</v>
      </c>
      <c r="CV87">
        <f t="shared" si="92"/>
        <v>0</v>
      </c>
      <c r="CW87">
        <f t="shared" si="93"/>
        <v>0</v>
      </c>
      <c r="CX87">
        <f t="shared" si="94"/>
        <v>0</v>
      </c>
      <c r="CY87">
        <f t="shared" si="95"/>
        <v>0</v>
      </c>
      <c r="CZ87">
        <f t="shared" si="96"/>
        <v>0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138</v>
      </c>
      <c r="DW87" t="s">
        <v>138</v>
      </c>
      <c r="DX87">
        <v>1000</v>
      </c>
      <c r="EE87">
        <v>55471715</v>
      </c>
      <c r="EF87">
        <v>2</v>
      </c>
      <c r="EG87" t="s">
        <v>31</v>
      </c>
      <c r="EH87">
        <v>21</v>
      </c>
      <c r="EI87" t="s">
        <v>32</v>
      </c>
      <c r="EJ87">
        <v>1</v>
      </c>
      <c r="EK87">
        <v>27001</v>
      </c>
      <c r="EL87" t="s">
        <v>32</v>
      </c>
      <c r="EM87" t="s">
        <v>33</v>
      </c>
      <c r="EQ87">
        <v>0</v>
      </c>
      <c r="ER87">
        <v>480</v>
      </c>
      <c r="ES87">
        <v>480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97"/>
        <v>0</v>
      </c>
      <c r="FS87">
        <v>0</v>
      </c>
      <c r="FX87">
        <v>147</v>
      </c>
      <c r="FY87">
        <v>134</v>
      </c>
      <c r="GD87">
        <v>1</v>
      </c>
      <c r="GF87">
        <v>783068224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98"/>
        <v>0</v>
      </c>
      <c r="GM87">
        <f t="shared" si="99"/>
        <v>3581.42</v>
      </c>
      <c r="GN87">
        <f t="shared" si="100"/>
        <v>3581.42</v>
      </c>
      <c r="GO87">
        <f t="shared" si="101"/>
        <v>0</v>
      </c>
      <c r="GP87">
        <f t="shared" si="102"/>
        <v>0</v>
      </c>
      <c r="GR87">
        <v>0</v>
      </c>
      <c r="GS87">
        <v>3</v>
      </c>
      <c r="GT87">
        <v>0</v>
      </c>
      <c r="GV87">
        <f t="shared" si="103"/>
        <v>0</v>
      </c>
      <c r="GW87">
        <v>1</v>
      </c>
      <c r="GX87">
        <f t="shared" si="104"/>
        <v>0</v>
      </c>
      <c r="HA87">
        <v>0</v>
      </c>
      <c r="HB87">
        <v>0</v>
      </c>
      <c r="HC87">
        <f t="shared" si="105"/>
        <v>0</v>
      </c>
      <c r="HN87" t="s">
        <v>35</v>
      </c>
      <c r="HO87" t="s">
        <v>36</v>
      </c>
      <c r="HP87" t="s">
        <v>32</v>
      </c>
      <c r="HQ87" t="s">
        <v>32</v>
      </c>
      <c r="IK87">
        <v>0</v>
      </c>
    </row>
    <row r="89" spans="1:206" ht="12.75">
      <c r="A89" s="3">
        <v>51</v>
      </c>
      <c r="B89" s="3">
        <f>B72</f>
        <v>1</v>
      </c>
      <c r="C89" s="3">
        <f>A72</f>
        <v>4</v>
      </c>
      <c r="D89" s="3">
        <f>ROW(A72)</f>
        <v>72</v>
      </c>
      <c r="E89" s="3"/>
      <c r="F89" s="3">
        <f>IF(F72&lt;&gt;"",F72,"")</f>
      </c>
      <c r="G89" s="3" t="str">
        <f>IF(G72&lt;&gt;"",G72,"")</f>
        <v>Монтажные работы</v>
      </c>
      <c r="H89" s="3">
        <v>0</v>
      </c>
      <c r="I89" s="3"/>
      <c r="J89" s="3"/>
      <c r="K89" s="3"/>
      <c r="L89" s="3"/>
      <c r="M89" s="3"/>
      <c r="N89" s="3"/>
      <c r="O89" s="3">
        <f aca="true" t="shared" si="106" ref="O89:T89">ROUND(AB89,2)</f>
        <v>17481.83</v>
      </c>
      <c r="P89" s="3">
        <f t="shared" si="106"/>
        <v>15874.82</v>
      </c>
      <c r="Q89" s="3">
        <f t="shared" si="106"/>
        <v>585.39</v>
      </c>
      <c r="R89" s="3">
        <f t="shared" si="106"/>
        <v>30.07</v>
      </c>
      <c r="S89" s="3">
        <f t="shared" si="106"/>
        <v>1021.62</v>
      </c>
      <c r="T89" s="3">
        <f t="shared" si="106"/>
        <v>0</v>
      </c>
      <c r="U89" s="3">
        <f>AH89</f>
        <v>120.71803</v>
      </c>
      <c r="V89" s="3">
        <f>AI89</f>
        <v>2.3238125</v>
      </c>
      <c r="W89" s="3">
        <f>ROUND(AJ89,2)</f>
        <v>0</v>
      </c>
      <c r="X89" s="3">
        <f>ROUND(AK89,2)</f>
        <v>1391.39</v>
      </c>
      <c r="Y89" s="3">
        <f>ROUND(AL89,2)</f>
        <v>1197.88</v>
      </c>
      <c r="Z89" s="3"/>
      <c r="AA89" s="3"/>
      <c r="AB89" s="3">
        <f>ROUND(SUMIF(AA76:AA87,"=55468472",O76:O87),2)</f>
        <v>17481.83</v>
      </c>
      <c r="AC89" s="3">
        <f>ROUND(SUMIF(AA76:AA87,"=55468472",P76:P87),2)</f>
        <v>15874.82</v>
      </c>
      <c r="AD89" s="3">
        <f>ROUND(SUMIF(AA76:AA87,"=55468472",Q76:Q87),2)</f>
        <v>585.39</v>
      </c>
      <c r="AE89" s="3">
        <f>ROUND(SUMIF(AA76:AA87,"=55468472",R76:R87),2)</f>
        <v>30.07</v>
      </c>
      <c r="AF89" s="3">
        <f>ROUND(SUMIF(AA76:AA87,"=55468472",S76:S87),2)</f>
        <v>1021.62</v>
      </c>
      <c r="AG89" s="3">
        <f>ROUND(SUMIF(AA76:AA87,"=55468472",T76:T87),2)</f>
        <v>0</v>
      </c>
      <c r="AH89" s="3">
        <f>SUMIF(AA76:AA87,"=55468472",U76:U87)</f>
        <v>120.71803</v>
      </c>
      <c r="AI89" s="3">
        <f>SUMIF(AA76:AA87,"=55468472",V76:V87)</f>
        <v>2.3238125</v>
      </c>
      <c r="AJ89" s="3">
        <f>ROUND(SUMIF(AA76:AA87,"=55468472",W76:W87),2)</f>
        <v>0</v>
      </c>
      <c r="AK89" s="3">
        <f>ROUND(SUMIF(AA76:AA87,"=55468472",X76:X87),2)</f>
        <v>1391.39</v>
      </c>
      <c r="AL89" s="3">
        <f>ROUND(SUMIF(AA76:AA87,"=55468472",Y76:Y87),2)</f>
        <v>1197.88</v>
      </c>
      <c r="AM89" s="3"/>
      <c r="AN89" s="3"/>
      <c r="AO89" s="3">
        <f aca="true" t="shared" si="107" ref="AO89:BD89">ROUND(BX89,2)</f>
        <v>0</v>
      </c>
      <c r="AP89" s="3">
        <f t="shared" si="107"/>
        <v>0</v>
      </c>
      <c r="AQ89" s="3">
        <f t="shared" si="107"/>
        <v>0</v>
      </c>
      <c r="AR89" s="3">
        <f t="shared" si="107"/>
        <v>20071.1</v>
      </c>
      <c r="AS89" s="3">
        <f t="shared" si="107"/>
        <v>20071.1</v>
      </c>
      <c r="AT89" s="3">
        <f t="shared" si="107"/>
        <v>0</v>
      </c>
      <c r="AU89" s="3">
        <f t="shared" si="107"/>
        <v>0</v>
      </c>
      <c r="AV89" s="3">
        <f t="shared" si="107"/>
        <v>15874.82</v>
      </c>
      <c r="AW89" s="3">
        <f t="shared" si="107"/>
        <v>15874.82</v>
      </c>
      <c r="AX89" s="3">
        <f t="shared" si="107"/>
        <v>0</v>
      </c>
      <c r="AY89" s="3">
        <f t="shared" si="107"/>
        <v>15874.82</v>
      </c>
      <c r="AZ89" s="3">
        <f t="shared" si="107"/>
        <v>0</v>
      </c>
      <c r="BA89" s="3">
        <f t="shared" si="107"/>
        <v>0</v>
      </c>
      <c r="BB89" s="3">
        <f t="shared" si="107"/>
        <v>0</v>
      </c>
      <c r="BC89" s="3">
        <f t="shared" si="107"/>
        <v>0</v>
      </c>
      <c r="BD89" s="3">
        <f t="shared" si="107"/>
        <v>0</v>
      </c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>
        <f>ROUND(SUMIF(AA76:AA87,"=55468472",FQ76:FQ87),2)</f>
        <v>0</v>
      </c>
      <c r="BY89" s="3">
        <f>ROUND(SUMIF(AA76:AA87,"=55468472",FR76:FR87),2)</f>
        <v>0</v>
      </c>
      <c r="BZ89" s="3">
        <f>ROUND(SUMIF(AA76:AA87,"=55468472",GL76:GL87),2)</f>
        <v>0</v>
      </c>
      <c r="CA89" s="3">
        <f>ROUND(SUMIF(AA76:AA87,"=55468472",GM76:GM87),2)</f>
        <v>20071.1</v>
      </c>
      <c r="CB89" s="3">
        <f>ROUND(SUMIF(AA76:AA87,"=55468472",GN76:GN87),2)</f>
        <v>20071.1</v>
      </c>
      <c r="CC89" s="3">
        <f>ROUND(SUMIF(AA76:AA87,"=55468472",GO76:GO87),2)</f>
        <v>0</v>
      </c>
      <c r="CD89" s="3">
        <f>ROUND(SUMIF(AA76:AA87,"=55468472",GP76:GP87),2)</f>
        <v>0</v>
      </c>
      <c r="CE89" s="3">
        <f>AC89-BX89</f>
        <v>15874.82</v>
      </c>
      <c r="CF89" s="3">
        <f>AC89-BY89</f>
        <v>15874.82</v>
      </c>
      <c r="CG89" s="3">
        <f>BX89-BZ89</f>
        <v>0</v>
      </c>
      <c r="CH89" s="3">
        <f>AC89-BX89-BY89+BZ89</f>
        <v>15874.82</v>
      </c>
      <c r="CI89" s="3">
        <f>BY89-BZ89</f>
        <v>0</v>
      </c>
      <c r="CJ89" s="3">
        <f>ROUND(SUMIF(AA76:AA87,"=55468472",GX76:GX87),2)</f>
        <v>0</v>
      </c>
      <c r="CK89" s="3">
        <f>ROUND(SUMIF(AA76:AA87,"=55468472",GY76:GY87),2)</f>
        <v>0</v>
      </c>
      <c r="CL89" s="3">
        <f>ROUND(SUMIF(AA76:AA87,"=55468472",GZ76:GZ87),2)</f>
        <v>0</v>
      </c>
      <c r="CM89" s="3">
        <f>ROUND(SUMIF(AA76:AA87,"=55468472",HD76:HD87),2)</f>
        <v>0</v>
      </c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4">
        <f aca="true" t="shared" si="108" ref="DG89:DL89">ROUND(DT89,2)</f>
        <v>150897.46</v>
      </c>
      <c r="DH89" s="4">
        <f t="shared" si="108"/>
        <v>105567.55</v>
      </c>
      <c r="DI89" s="4">
        <f t="shared" si="108"/>
        <v>7662.79</v>
      </c>
      <c r="DJ89" s="4">
        <f t="shared" si="108"/>
        <v>1108.66</v>
      </c>
      <c r="DK89" s="4">
        <f t="shared" si="108"/>
        <v>37667.12</v>
      </c>
      <c r="DL89" s="4">
        <f t="shared" si="108"/>
        <v>0</v>
      </c>
      <c r="DM89" s="4">
        <f>DZ89</f>
        <v>120.71803</v>
      </c>
      <c r="DN89" s="4">
        <f>EA89</f>
        <v>2.3238125</v>
      </c>
      <c r="DO89" s="4">
        <f>ROUND(EB89,2)</f>
        <v>0</v>
      </c>
      <c r="DP89" s="4">
        <f>ROUND(EC89,2)</f>
        <v>51300.35</v>
      </c>
      <c r="DQ89" s="4">
        <f>ROUND(ED89,2)</f>
        <v>44165.61</v>
      </c>
      <c r="DR89" s="4"/>
      <c r="DS89" s="4"/>
      <c r="DT89" s="4">
        <f>ROUND(SUMIF(AA76:AA87,"=55468473",O76:O87),2)</f>
        <v>150897.46</v>
      </c>
      <c r="DU89" s="4">
        <f>ROUND(SUMIF(AA76:AA87,"=55468473",P76:P87),2)</f>
        <v>105567.55</v>
      </c>
      <c r="DV89" s="4">
        <f>ROUND(SUMIF(AA76:AA87,"=55468473",Q76:Q87),2)</f>
        <v>7662.79</v>
      </c>
      <c r="DW89" s="4">
        <f>ROUND(SUMIF(AA76:AA87,"=55468473",R76:R87),2)</f>
        <v>1108.66</v>
      </c>
      <c r="DX89" s="4">
        <f>ROUND(SUMIF(AA76:AA87,"=55468473",S76:S87),2)</f>
        <v>37667.12</v>
      </c>
      <c r="DY89" s="4">
        <f>ROUND(SUMIF(AA76:AA87,"=55468473",T76:T87),2)</f>
        <v>0</v>
      </c>
      <c r="DZ89" s="4">
        <f>SUMIF(AA76:AA87,"=55468473",U76:U87)</f>
        <v>120.71803</v>
      </c>
      <c r="EA89" s="4">
        <f>SUMIF(AA76:AA87,"=55468473",V76:V87)</f>
        <v>2.3238125</v>
      </c>
      <c r="EB89" s="4">
        <f>ROUND(SUMIF(AA76:AA87,"=55468473",W76:W87),2)</f>
        <v>0</v>
      </c>
      <c r="EC89" s="4">
        <f>ROUND(SUMIF(AA76:AA87,"=55468473",X76:X87),2)</f>
        <v>51300.35</v>
      </c>
      <c r="ED89" s="4">
        <f>ROUND(SUMIF(AA76:AA87,"=55468473",Y76:Y87),2)</f>
        <v>44165.61</v>
      </c>
      <c r="EE89" s="4"/>
      <c r="EF89" s="4"/>
      <c r="EG89" s="4">
        <f aca="true" t="shared" si="109" ref="EG89:EV89">ROUND(FP89,2)</f>
        <v>0</v>
      </c>
      <c r="EH89" s="4">
        <f t="shared" si="109"/>
        <v>0</v>
      </c>
      <c r="EI89" s="4">
        <f t="shared" si="109"/>
        <v>0</v>
      </c>
      <c r="EJ89" s="4">
        <f t="shared" si="109"/>
        <v>246363.42</v>
      </c>
      <c r="EK89" s="4">
        <f t="shared" si="109"/>
        <v>246363.42</v>
      </c>
      <c r="EL89" s="4">
        <f t="shared" si="109"/>
        <v>0</v>
      </c>
      <c r="EM89" s="4">
        <f t="shared" si="109"/>
        <v>0</v>
      </c>
      <c r="EN89" s="4">
        <f t="shared" si="109"/>
        <v>105567.55</v>
      </c>
      <c r="EO89" s="4">
        <f t="shared" si="109"/>
        <v>105567.55</v>
      </c>
      <c r="EP89" s="4">
        <f t="shared" si="109"/>
        <v>0</v>
      </c>
      <c r="EQ89" s="4">
        <f t="shared" si="109"/>
        <v>105567.55</v>
      </c>
      <c r="ER89" s="4">
        <f t="shared" si="109"/>
        <v>0</v>
      </c>
      <c r="ES89" s="4">
        <f t="shared" si="109"/>
        <v>0</v>
      </c>
      <c r="ET89" s="4">
        <f t="shared" si="109"/>
        <v>0</v>
      </c>
      <c r="EU89" s="4">
        <f t="shared" si="109"/>
        <v>0</v>
      </c>
      <c r="EV89" s="4">
        <f t="shared" si="109"/>
        <v>0</v>
      </c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>
        <f>ROUND(SUMIF(AA76:AA87,"=55468473",FQ76:FQ87),2)</f>
        <v>0</v>
      </c>
      <c r="FQ89" s="4">
        <f>ROUND(SUMIF(AA76:AA87,"=55468473",FR76:FR87),2)</f>
        <v>0</v>
      </c>
      <c r="FR89" s="4">
        <f>ROUND(SUMIF(AA76:AA87,"=55468473",GL76:GL87),2)</f>
        <v>0</v>
      </c>
      <c r="FS89" s="4">
        <f>ROUND(SUMIF(AA76:AA87,"=55468473",GM76:GM87),2)</f>
        <v>246363.42</v>
      </c>
      <c r="FT89" s="4">
        <f>ROUND(SUMIF(AA76:AA87,"=55468473",GN76:GN87),2)</f>
        <v>246363.42</v>
      </c>
      <c r="FU89" s="4">
        <f>ROUND(SUMIF(AA76:AA87,"=55468473",GO76:GO87),2)</f>
        <v>0</v>
      </c>
      <c r="FV89" s="4">
        <f>ROUND(SUMIF(AA76:AA87,"=55468473",GP76:GP87),2)</f>
        <v>0</v>
      </c>
      <c r="FW89" s="4">
        <f>DU89-FP89</f>
        <v>105567.55</v>
      </c>
      <c r="FX89" s="4">
        <f>DU89-FQ89</f>
        <v>105567.55</v>
      </c>
      <c r="FY89" s="4">
        <f>FP89-FR89</f>
        <v>0</v>
      </c>
      <c r="FZ89" s="4">
        <f>DU89-FP89-FQ89+FR89</f>
        <v>105567.55</v>
      </c>
      <c r="GA89" s="4">
        <f>FQ89-FR89</f>
        <v>0</v>
      </c>
      <c r="GB89" s="4">
        <f>ROUND(SUMIF(AA76:AA87,"=55468473",GX76:GX87),2)</f>
        <v>0</v>
      </c>
      <c r="GC89" s="4">
        <f>ROUND(SUMIF(AA76:AA87,"=55468473",GY76:GY87),2)</f>
        <v>0</v>
      </c>
      <c r="GD89" s="4">
        <f>ROUND(SUMIF(AA76:AA87,"=55468473",GZ76:GZ87),2)</f>
        <v>0</v>
      </c>
      <c r="GE89" s="4">
        <f>ROUND(SUMIF(AA76:AA87,"=55468473",HD76:HD87),2)</f>
        <v>0</v>
      </c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>
        <v>0</v>
      </c>
    </row>
    <row r="91" spans="1:28" ht="12.75">
      <c r="A91" s="5">
        <v>50</v>
      </c>
      <c r="B91" s="5">
        <v>0</v>
      </c>
      <c r="C91" s="5">
        <v>0</v>
      </c>
      <c r="D91" s="5">
        <v>1</v>
      </c>
      <c r="E91" s="5">
        <v>201</v>
      </c>
      <c r="F91" s="5">
        <f>ROUND(Source!O89,O91)</f>
        <v>17481.83</v>
      </c>
      <c r="G91" s="5" t="s">
        <v>65</v>
      </c>
      <c r="H91" s="5" t="s">
        <v>66</v>
      </c>
      <c r="I91" s="5"/>
      <c r="J91" s="5"/>
      <c r="K91" s="5">
        <v>201</v>
      </c>
      <c r="L91" s="5">
        <v>1</v>
      </c>
      <c r="M91" s="5">
        <v>3</v>
      </c>
      <c r="N91" s="5" t="s">
        <v>3</v>
      </c>
      <c r="O91" s="5">
        <v>2</v>
      </c>
      <c r="P91" s="5">
        <f>ROUND(Source!DG89,O91)</f>
        <v>150897.46</v>
      </c>
      <c r="Q91" s="5"/>
      <c r="R91" s="5"/>
      <c r="S91" s="5"/>
      <c r="T91" s="5"/>
      <c r="U91" s="5"/>
      <c r="V91" s="5"/>
      <c r="W91" s="5">
        <v>17481.829999999998</v>
      </c>
      <c r="X91" s="5">
        <v>1</v>
      </c>
      <c r="Y91" s="5">
        <v>17481.829999999998</v>
      </c>
      <c r="Z91" s="5">
        <v>150897.46</v>
      </c>
      <c r="AA91" s="5">
        <v>1</v>
      </c>
      <c r="AB91" s="5">
        <v>150897.46</v>
      </c>
    </row>
    <row r="92" spans="1:28" ht="12.75">
      <c r="A92" s="5">
        <v>50</v>
      </c>
      <c r="B92" s="5">
        <v>0</v>
      </c>
      <c r="C92" s="5">
        <v>0</v>
      </c>
      <c r="D92" s="5">
        <v>1</v>
      </c>
      <c r="E92" s="5">
        <v>202</v>
      </c>
      <c r="F92" s="5">
        <f>ROUND(Source!P89,O92)</f>
        <v>15874.82</v>
      </c>
      <c r="G92" s="5" t="s">
        <v>67</v>
      </c>
      <c r="H92" s="5" t="s">
        <v>68</v>
      </c>
      <c r="I92" s="5"/>
      <c r="J92" s="5"/>
      <c r="K92" s="5">
        <v>202</v>
      </c>
      <c r="L92" s="5">
        <v>2</v>
      </c>
      <c r="M92" s="5">
        <v>3</v>
      </c>
      <c r="N92" s="5" t="s">
        <v>3</v>
      </c>
      <c r="O92" s="5">
        <v>2</v>
      </c>
      <c r="P92" s="5">
        <f>ROUND(Source!DH89,O92)</f>
        <v>105567.55</v>
      </c>
      <c r="Q92" s="5"/>
      <c r="R92" s="5"/>
      <c r="S92" s="5"/>
      <c r="T92" s="5"/>
      <c r="U92" s="5"/>
      <c r="V92" s="5"/>
      <c r="W92" s="5">
        <v>15874.82</v>
      </c>
      <c r="X92" s="5">
        <v>1</v>
      </c>
      <c r="Y92" s="5">
        <v>15874.82</v>
      </c>
      <c r="Z92" s="5">
        <v>105567.55</v>
      </c>
      <c r="AA92" s="5">
        <v>1</v>
      </c>
      <c r="AB92" s="5">
        <v>105567.55</v>
      </c>
    </row>
    <row r="93" spans="1:28" ht="12.75">
      <c r="A93" s="5">
        <v>50</v>
      </c>
      <c r="B93" s="5">
        <v>0</v>
      </c>
      <c r="C93" s="5">
        <v>0</v>
      </c>
      <c r="D93" s="5">
        <v>1</v>
      </c>
      <c r="E93" s="5">
        <v>222</v>
      </c>
      <c r="F93" s="5">
        <f>ROUND(Source!AO89,O93)</f>
        <v>0</v>
      </c>
      <c r="G93" s="5" t="s">
        <v>69</v>
      </c>
      <c r="H93" s="5" t="s">
        <v>70</v>
      </c>
      <c r="I93" s="5"/>
      <c r="J93" s="5"/>
      <c r="K93" s="5">
        <v>222</v>
      </c>
      <c r="L93" s="5">
        <v>3</v>
      </c>
      <c r="M93" s="5">
        <v>3</v>
      </c>
      <c r="N93" s="5" t="s">
        <v>3</v>
      </c>
      <c r="O93" s="5">
        <v>2</v>
      </c>
      <c r="P93" s="5">
        <f>ROUND(Source!EG89,O93)</f>
        <v>0</v>
      </c>
      <c r="Q93" s="5"/>
      <c r="R93" s="5"/>
      <c r="S93" s="5"/>
      <c r="T93" s="5"/>
      <c r="U93" s="5"/>
      <c r="V93" s="5"/>
      <c r="W93" s="5">
        <v>0</v>
      </c>
      <c r="X93" s="5">
        <v>1</v>
      </c>
      <c r="Y93" s="5">
        <v>0</v>
      </c>
      <c r="Z93" s="5">
        <v>0</v>
      </c>
      <c r="AA93" s="5">
        <v>1</v>
      </c>
      <c r="AB93" s="5">
        <v>0</v>
      </c>
    </row>
    <row r="94" spans="1:28" ht="12.75">
      <c r="A94" s="5">
        <v>50</v>
      </c>
      <c r="B94" s="5">
        <v>0</v>
      </c>
      <c r="C94" s="5">
        <v>0</v>
      </c>
      <c r="D94" s="5">
        <v>1</v>
      </c>
      <c r="E94" s="5">
        <v>225</v>
      </c>
      <c r="F94" s="5">
        <f>ROUND(Source!AV89,O94)</f>
        <v>15874.82</v>
      </c>
      <c r="G94" s="5" t="s">
        <v>71</v>
      </c>
      <c r="H94" s="5" t="s">
        <v>72</v>
      </c>
      <c r="I94" s="5"/>
      <c r="J94" s="5"/>
      <c r="K94" s="5">
        <v>225</v>
      </c>
      <c r="L94" s="5">
        <v>4</v>
      </c>
      <c r="M94" s="5">
        <v>3</v>
      </c>
      <c r="N94" s="5" t="s">
        <v>3</v>
      </c>
      <c r="O94" s="5">
        <v>2</v>
      </c>
      <c r="P94" s="5">
        <f>ROUND(Source!EN89,O94)</f>
        <v>105567.55</v>
      </c>
      <c r="Q94" s="5"/>
      <c r="R94" s="5"/>
      <c r="S94" s="5"/>
      <c r="T94" s="5"/>
      <c r="U94" s="5"/>
      <c r="V94" s="5"/>
      <c r="W94" s="5">
        <v>15874.82</v>
      </c>
      <c r="X94" s="5">
        <v>1</v>
      </c>
      <c r="Y94" s="5">
        <v>15874.82</v>
      </c>
      <c r="Z94" s="5">
        <v>105567.55</v>
      </c>
      <c r="AA94" s="5">
        <v>1</v>
      </c>
      <c r="AB94" s="5">
        <v>105567.55</v>
      </c>
    </row>
    <row r="95" spans="1:28" ht="12.75">
      <c r="A95" s="5">
        <v>50</v>
      </c>
      <c r="B95" s="5">
        <v>0</v>
      </c>
      <c r="C95" s="5">
        <v>0</v>
      </c>
      <c r="D95" s="5">
        <v>1</v>
      </c>
      <c r="E95" s="5">
        <v>226</v>
      </c>
      <c r="F95" s="5">
        <f>ROUND(Source!AW89,O95)</f>
        <v>15874.82</v>
      </c>
      <c r="G95" s="5" t="s">
        <v>73</v>
      </c>
      <c r="H95" s="5" t="s">
        <v>74</v>
      </c>
      <c r="I95" s="5"/>
      <c r="J95" s="5"/>
      <c r="K95" s="5">
        <v>226</v>
      </c>
      <c r="L95" s="5">
        <v>5</v>
      </c>
      <c r="M95" s="5">
        <v>3</v>
      </c>
      <c r="N95" s="5" t="s">
        <v>3</v>
      </c>
      <c r="O95" s="5">
        <v>2</v>
      </c>
      <c r="P95" s="5">
        <f>ROUND(Source!EO89,O95)</f>
        <v>105567.55</v>
      </c>
      <c r="Q95" s="5"/>
      <c r="R95" s="5"/>
      <c r="S95" s="5"/>
      <c r="T95" s="5"/>
      <c r="U95" s="5"/>
      <c r="V95" s="5"/>
      <c r="W95" s="5">
        <v>15874.82</v>
      </c>
      <c r="X95" s="5">
        <v>1</v>
      </c>
      <c r="Y95" s="5">
        <v>15874.82</v>
      </c>
      <c r="Z95" s="5">
        <v>105567.55</v>
      </c>
      <c r="AA95" s="5">
        <v>1</v>
      </c>
      <c r="AB95" s="5">
        <v>105567.55</v>
      </c>
    </row>
    <row r="96" spans="1:28" ht="12.75">
      <c r="A96" s="5">
        <v>50</v>
      </c>
      <c r="B96" s="5">
        <v>0</v>
      </c>
      <c r="C96" s="5">
        <v>0</v>
      </c>
      <c r="D96" s="5">
        <v>1</v>
      </c>
      <c r="E96" s="5">
        <v>227</v>
      </c>
      <c r="F96" s="5">
        <f>ROUND(Source!AX89,O96)</f>
        <v>0</v>
      </c>
      <c r="G96" s="5" t="s">
        <v>75</v>
      </c>
      <c r="H96" s="5" t="s">
        <v>76</v>
      </c>
      <c r="I96" s="5"/>
      <c r="J96" s="5"/>
      <c r="K96" s="5">
        <v>227</v>
      </c>
      <c r="L96" s="5">
        <v>6</v>
      </c>
      <c r="M96" s="5">
        <v>3</v>
      </c>
      <c r="N96" s="5" t="s">
        <v>3</v>
      </c>
      <c r="O96" s="5">
        <v>2</v>
      </c>
      <c r="P96" s="5">
        <f>ROUND(Source!EP89,O96)</f>
        <v>0</v>
      </c>
      <c r="Q96" s="5"/>
      <c r="R96" s="5"/>
      <c r="S96" s="5"/>
      <c r="T96" s="5"/>
      <c r="U96" s="5"/>
      <c r="V96" s="5"/>
      <c r="W96" s="5">
        <v>0</v>
      </c>
      <c r="X96" s="5">
        <v>1</v>
      </c>
      <c r="Y96" s="5">
        <v>0</v>
      </c>
      <c r="Z96" s="5">
        <v>0</v>
      </c>
      <c r="AA96" s="5">
        <v>1</v>
      </c>
      <c r="AB96" s="5">
        <v>0</v>
      </c>
    </row>
    <row r="97" spans="1:28" ht="12.75">
      <c r="A97" s="5">
        <v>50</v>
      </c>
      <c r="B97" s="5">
        <v>0</v>
      </c>
      <c r="C97" s="5">
        <v>0</v>
      </c>
      <c r="D97" s="5">
        <v>1</v>
      </c>
      <c r="E97" s="5">
        <v>228</v>
      </c>
      <c r="F97" s="5">
        <f>ROUND(Source!AY89,O97)</f>
        <v>15874.82</v>
      </c>
      <c r="G97" s="5" t="s">
        <v>77</v>
      </c>
      <c r="H97" s="5" t="s">
        <v>78</v>
      </c>
      <c r="I97" s="5"/>
      <c r="J97" s="5"/>
      <c r="K97" s="5">
        <v>228</v>
      </c>
      <c r="L97" s="5">
        <v>7</v>
      </c>
      <c r="M97" s="5">
        <v>3</v>
      </c>
      <c r="N97" s="5" t="s">
        <v>3</v>
      </c>
      <c r="O97" s="5">
        <v>2</v>
      </c>
      <c r="P97" s="5">
        <f>ROUND(Source!EQ89,O97)</f>
        <v>105567.55</v>
      </c>
      <c r="Q97" s="5"/>
      <c r="R97" s="5"/>
      <c r="S97" s="5"/>
      <c r="T97" s="5"/>
      <c r="U97" s="5"/>
      <c r="V97" s="5"/>
      <c r="W97" s="5">
        <v>15874.82</v>
      </c>
      <c r="X97" s="5">
        <v>1</v>
      </c>
      <c r="Y97" s="5">
        <v>15874.82</v>
      </c>
      <c r="Z97" s="5">
        <v>105567.55</v>
      </c>
      <c r="AA97" s="5">
        <v>1</v>
      </c>
      <c r="AB97" s="5">
        <v>105567.55</v>
      </c>
    </row>
    <row r="98" spans="1:28" ht="12.75">
      <c r="A98" s="5">
        <v>50</v>
      </c>
      <c r="B98" s="5">
        <v>0</v>
      </c>
      <c r="C98" s="5">
        <v>0</v>
      </c>
      <c r="D98" s="5">
        <v>1</v>
      </c>
      <c r="E98" s="5">
        <v>216</v>
      </c>
      <c r="F98" s="5">
        <f>ROUND(Source!AP89,O98)</f>
        <v>0</v>
      </c>
      <c r="G98" s="5" t="s">
        <v>79</v>
      </c>
      <c r="H98" s="5" t="s">
        <v>80</v>
      </c>
      <c r="I98" s="5"/>
      <c r="J98" s="5"/>
      <c r="K98" s="5">
        <v>216</v>
      </c>
      <c r="L98" s="5">
        <v>8</v>
      </c>
      <c r="M98" s="5">
        <v>3</v>
      </c>
      <c r="N98" s="5" t="s">
        <v>3</v>
      </c>
      <c r="O98" s="5">
        <v>2</v>
      </c>
      <c r="P98" s="5">
        <f>ROUND(Source!EH89,O98)</f>
        <v>0</v>
      </c>
      <c r="Q98" s="5"/>
      <c r="R98" s="5"/>
      <c r="S98" s="5"/>
      <c r="T98" s="5"/>
      <c r="U98" s="5"/>
      <c r="V98" s="5"/>
      <c r="W98" s="5">
        <v>0</v>
      </c>
      <c r="X98" s="5">
        <v>1</v>
      </c>
      <c r="Y98" s="5">
        <v>0</v>
      </c>
      <c r="Z98" s="5">
        <v>0</v>
      </c>
      <c r="AA98" s="5">
        <v>1</v>
      </c>
      <c r="AB98" s="5">
        <v>0</v>
      </c>
    </row>
    <row r="99" spans="1:28" ht="12.75">
      <c r="A99" s="5">
        <v>50</v>
      </c>
      <c r="B99" s="5">
        <v>0</v>
      </c>
      <c r="C99" s="5">
        <v>0</v>
      </c>
      <c r="D99" s="5">
        <v>1</v>
      </c>
      <c r="E99" s="5">
        <v>223</v>
      </c>
      <c r="F99" s="5">
        <f>ROUND(Source!AQ89,O99)</f>
        <v>0</v>
      </c>
      <c r="G99" s="5" t="s">
        <v>81</v>
      </c>
      <c r="H99" s="5" t="s">
        <v>82</v>
      </c>
      <c r="I99" s="5"/>
      <c r="J99" s="5"/>
      <c r="K99" s="5">
        <v>223</v>
      </c>
      <c r="L99" s="5">
        <v>9</v>
      </c>
      <c r="M99" s="5">
        <v>3</v>
      </c>
      <c r="N99" s="5" t="s">
        <v>3</v>
      </c>
      <c r="O99" s="5">
        <v>2</v>
      </c>
      <c r="P99" s="5">
        <f>ROUND(Source!EI89,O99)</f>
        <v>0</v>
      </c>
      <c r="Q99" s="5"/>
      <c r="R99" s="5"/>
      <c r="S99" s="5"/>
      <c r="T99" s="5"/>
      <c r="U99" s="5"/>
      <c r="V99" s="5"/>
      <c r="W99" s="5">
        <v>0</v>
      </c>
      <c r="X99" s="5">
        <v>1</v>
      </c>
      <c r="Y99" s="5">
        <v>0</v>
      </c>
      <c r="Z99" s="5">
        <v>0</v>
      </c>
      <c r="AA99" s="5">
        <v>1</v>
      </c>
      <c r="AB99" s="5">
        <v>0</v>
      </c>
    </row>
    <row r="100" spans="1:28" ht="12.75">
      <c r="A100" s="5">
        <v>50</v>
      </c>
      <c r="B100" s="5">
        <v>0</v>
      </c>
      <c r="C100" s="5">
        <v>0</v>
      </c>
      <c r="D100" s="5">
        <v>1</v>
      </c>
      <c r="E100" s="5">
        <v>229</v>
      </c>
      <c r="F100" s="5">
        <f>ROUND(Source!AZ89,O100)</f>
        <v>0</v>
      </c>
      <c r="G100" s="5" t="s">
        <v>83</v>
      </c>
      <c r="H100" s="5" t="s">
        <v>84</v>
      </c>
      <c r="I100" s="5"/>
      <c r="J100" s="5"/>
      <c r="K100" s="5">
        <v>229</v>
      </c>
      <c r="L100" s="5">
        <v>10</v>
      </c>
      <c r="M100" s="5">
        <v>3</v>
      </c>
      <c r="N100" s="5" t="s">
        <v>3</v>
      </c>
      <c r="O100" s="5">
        <v>2</v>
      </c>
      <c r="P100" s="5">
        <f>ROUND(Source!ER89,O100)</f>
        <v>0</v>
      </c>
      <c r="Q100" s="5"/>
      <c r="R100" s="5"/>
      <c r="S100" s="5"/>
      <c r="T100" s="5"/>
      <c r="U100" s="5"/>
      <c r="V100" s="5"/>
      <c r="W100" s="5">
        <v>0</v>
      </c>
      <c r="X100" s="5">
        <v>1</v>
      </c>
      <c r="Y100" s="5">
        <v>0</v>
      </c>
      <c r="Z100" s="5">
        <v>0</v>
      </c>
      <c r="AA100" s="5">
        <v>1</v>
      </c>
      <c r="AB100" s="5">
        <v>0</v>
      </c>
    </row>
    <row r="101" spans="1:28" ht="12.75">
      <c r="A101" s="5">
        <v>50</v>
      </c>
      <c r="B101" s="5">
        <v>0</v>
      </c>
      <c r="C101" s="5">
        <v>0</v>
      </c>
      <c r="D101" s="5">
        <v>1</v>
      </c>
      <c r="E101" s="5">
        <v>203</v>
      </c>
      <c r="F101" s="5">
        <f>ROUND(Source!Q89,O101)</f>
        <v>585.39</v>
      </c>
      <c r="G101" s="5" t="s">
        <v>85</v>
      </c>
      <c r="H101" s="5" t="s">
        <v>86</v>
      </c>
      <c r="I101" s="5"/>
      <c r="J101" s="5"/>
      <c r="K101" s="5">
        <v>203</v>
      </c>
      <c r="L101" s="5">
        <v>11</v>
      </c>
      <c r="M101" s="5">
        <v>3</v>
      </c>
      <c r="N101" s="5" t="s">
        <v>3</v>
      </c>
      <c r="O101" s="5">
        <v>2</v>
      </c>
      <c r="P101" s="5">
        <f>ROUND(Source!DI89,O101)</f>
        <v>7662.79</v>
      </c>
      <c r="Q101" s="5"/>
      <c r="R101" s="5"/>
      <c r="S101" s="5"/>
      <c r="T101" s="5"/>
      <c r="U101" s="5"/>
      <c r="V101" s="5"/>
      <c r="W101" s="5">
        <v>585.39</v>
      </c>
      <c r="X101" s="5">
        <v>1</v>
      </c>
      <c r="Y101" s="5">
        <v>585.39</v>
      </c>
      <c r="Z101" s="5">
        <v>7662.79</v>
      </c>
      <c r="AA101" s="5">
        <v>1</v>
      </c>
      <c r="AB101" s="5">
        <v>7662.79</v>
      </c>
    </row>
    <row r="102" spans="1:28" ht="12.75">
      <c r="A102" s="5">
        <v>50</v>
      </c>
      <c r="B102" s="5">
        <v>0</v>
      </c>
      <c r="C102" s="5">
        <v>0</v>
      </c>
      <c r="D102" s="5">
        <v>1</v>
      </c>
      <c r="E102" s="5">
        <v>231</v>
      </c>
      <c r="F102" s="5">
        <f>ROUND(Source!BB89,O102)</f>
        <v>0</v>
      </c>
      <c r="G102" s="5" t="s">
        <v>87</v>
      </c>
      <c r="H102" s="5" t="s">
        <v>88</v>
      </c>
      <c r="I102" s="5"/>
      <c r="J102" s="5"/>
      <c r="K102" s="5">
        <v>231</v>
      </c>
      <c r="L102" s="5">
        <v>12</v>
      </c>
      <c r="M102" s="5">
        <v>3</v>
      </c>
      <c r="N102" s="5" t="s">
        <v>3</v>
      </c>
      <c r="O102" s="5">
        <v>2</v>
      </c>
      <c r="P102" s="5">
        <f>ROUND(Source!ET89,O102)</f>
        <v>0</v>
      </c>
      <c r="Q102" s="5"/>
      <c r="R102" s="5"/>
      <c r="S102" s="5"/>
      <c r="T102" s="5"/>
      <c r="U102" s="5"/>
      <c r="V102" s="5"/>
      <c r="W102" s="5">
        <v>0</v>
      </c>
      <c r="X102" s="5">
        <v>1</v>
      </c>
      <c r="Y102" s="5">
        <v>0</v>
      </c>
      <c r="Z102" s="5">
        <v>0</v>
      </c>
      <c r="AA102" s="5">
        <v>1</v>
      </c>
      <c r="AB102" s="5">
        <v>0</v>
      </c>
    </row>
    <row r="103" spans="1:28" ht="12.75">
      <c r="A103" s="5">
        <v>50</v>
      </c>
      <c r="B103" s="5">
        <v>0</v>
      </c>
      <c r="C103" s="5">
        <v>0</v>
      </c>
      <c r="D103" s="5">
        <v>1</v>
      </c>
      <c r="E103" s="5">
        <v>204</v>
      </c>
      <c r="F103" s="5">
        <f>ROUND(Source!R89,O103)</f>
        <v>30.07</v>
      </c>
      <c r="G103" s="5" t="s">
        <v>89</v>
      </c>
      <c r="H103" s="5" t="s">
        <v>90</v>
      </c>
      <c r="I103" s="5"/>
      <c r="J103" s="5"/>
      <c r="K103" s="5">
        <v>204</v>
      </c>
      <c r="L103" s="5">
        <v>13</v>
      </c>
      <c r="M103" s="5">
        <v>3</v>
      </c>
      <c r="N103" s="5" t="s">
        <v>3</v>
      </c>
      <c r="O103" s="5">
        <v>2</v>
      </c>
      <c r="P103" s="5">
        <f>ROUND(Source!DJ89,O103)</f>
        <v>1108.66</v>
      </c>
      <c r="Q103" s="5"/>
      <c r="R103" s="5"/>
      <c r="S103" s="5"/>
      <c r="T103" s="5"/>
      <c r="U103" s="5"/>
      <c r="V103" s="5"/>
      <c r="W103" s="5">
        <v>30.07</v>
      </c>
      <c r="X103" s="5">
        <v>1</v>
      </c>
      <c r="Y103" s="5">
        <v>30.07</v>
      </c>
      <c r="Z103" s="5">
        <v>1108.66</v>
      </c>
      <c r="AA103" s="5">
        <v>1</v>
      </c>
      <c r="AB103" s="5">
        <v>1108.66</v>
      </c>
    </row>
    <row r="104" spans="1:28" ht="12.75">
      <c r="A104" s="5">
        <v>50</v>
      </c>
      <c r="B104" s="5">
        <v>0</v>
      </c>
      <c r="C104" s="5">
        <v>0</v>
      </c>
      <c r="D104" s="5">
        <v>1</v>
      </c>
      <c r="E104" s="5">
        <v>205</v>
      </c>
      <c r="F104" s="5">
        <f>ROUND(Source!S89,O104)</f>
        <v>1021.62</v>
      </c>
      <c r="G104" s="5" t="s">
        <v>91</v>
      </c>
      <c r="H104" s="5" t="s">
        <v>92</v>
      </c>
      <c r="I104" s="5"/>
      <c r="J104" s="5"/>
      <c r="K104" s="5">
        <v>205</v>
      </c>
      <c r="L104" s="5">
        <v>14</v>
      </c>
      <c r="M104" s="5">
        <v>3</v>
      </c>
      <c r="N104" s="5" t="s">
        <v>3</v>
      </c>
      <c r="O104" s="5">
        <v>2</v>
      </c>
      <c r="P104" s="5">
        <f>ROUND(Source!DK89,O104)</f>
        <v>37667.12</v>
      </c>
      <c r="Q104" s="5"/>
      <c r="R104" s="5"/>
      <c r="S104" s="5"/>
      <c r="T104" s="5"/>
      <c r="U104" s="5"/>
      <c r="V104" s="5"/>
      <c r="W104" s="5">
        <v>1021.6200000000001</v>
      </c>
      <c r="X104" s="5">
        <v>1</v>
      </c>
      <c r="Y104" s="5">
        <v>1021.6200000000001</v>
      </c>
      <c r="Z104" s="5">
        <v>37667.12</v>
      </c>
      <c r="AA104" s="5">
        <v>1</v>
      </c>
      <c r="AB104" s="5">
        <v>37667.12</v>
      </c>
    </row>
    <row r="105" spans="1:28" ht="12.75">
      <c r="A105" s="5">
        <v>50</v>
      </c>
      <c r="B105" s="5">
        <v>0</v>
      </c>
      <c r="C105" s="5">
        <v>0</v>
      </c>
      <c r="D105" s="5">
        <v>1</v>
      </c>
      <c r="E105" s="5">
        <v>232</v>
      </c>
      <c r="F105" s="5">
        <f>ROUND(Source!BC89,O105)</f>
        <v>0</v>
      </c>
      <c r="G105" s="5" t="s">
        <v>93</v>
      </c>
      <c r="H105" s="5" t="s">
        <v>94</v>
      </c>
      <c r="I105" s="5"/>
      <c r="J105" s="5"/>
      <c r="K105" s="5">
        <v>232</v>
      </c>
      <c r="L105" s="5">
        <v>15</v>
      </c>
      <c r="M105" s="5">
        <v>3</v>
      </c>
      <c r="N105" s="5" t="s">
        <v>3</v>
      </c>
      <c r="O105" s="5">
        <v>2</v>
      </c>
      <c r="P105" s="5">
        <f>ROUND(Source!EU89,O105)</f>
        <v>0</v>
      </c>
      <c r="Q105" s="5"/>
      <c r="R105" s="5"/>
      <c r="S105" s="5"/>
      <c r="T105" s="5"/>
      <c r="U105" s="5"/>
      <c r="V105" s="5"/>
      <c r="W105" s="5">
        <v>0</v>
      </c>
      <c r="X105" s="5">
        <v>1</v>
      </c>
      <c r="Y105" s="5">
        <v>0</v>
      </c>
      <c r="Z105" s="5">
        <v>0</v>
      </c>
      <c r="AA105" s="5">
        <v>1</v>
      </c>
      <c r="AB105" s="5">
        <v>0</v>
      </c>
    </row>
    <row r="106" spans="1:28" ht="12.75">
      <c r="A106" s="5">
        <v>50</v>
      </c>
      <c r="B106" s="5">
        <v>0</v>
      </c>
      <c r="C106" s="5">
        <v>0</v>
      </c>
      <c r="D106" s="5">
        <v>1</v>
      </c>
      <c r="E106" s="5">
        <v>214</v>
      </c>
      <c r="F106" s="5">
        <f>ROUND(Source!AS89,O106)</f>
        <v>20071.1</v>
      </c>
      <c r="G106" s="5" t="s">
        <v>95</v>
      </c>
      <c r="H106" s="5" t="s">
        <v>96</v>
      </c>
      <c r="I106" s="5"/>
      <c r="J106" s="5"/>
      <c r="K106" s="5">
        <v>214</v>
      </c>
      <c r="L106" s="5">
        <v>16</v>
      </c>
      <c r="M106" s="5">
        <v>3</v>
      </c>
      <c r="N106" s="5" t="s">
        <v>3</v>
      </c>
      <c r="O106" s="5">
        <v>2</v>
      </c>
      <c r="P106" s="5">
        <f>ROUND(Source!EK89,O106)</f>
        <v>246363.42</v>
      </c>
      <c r="Q106" s="5"/>
      <c r="R106" s="5"/>
      <c r="S106" s="5"/>
      <c r="T106" s="5"/>
      <c r="U106" s="5"/>
      <c r="V106" s="5"/>
      <c r="W106" s="5">
        <v>20071.1</v>
      </c>
      <c r="X106" s="5">
        <v>1</v>
      </c>
      <c r="Y106" s="5">
        <v>20071.1</v>
      </c>
      <c r="Z106" s="5">
        <v>246363.42</v>
      </c>
      <c r="AA106" s="5">
        <v>1</v>
      </c>
      <c r="AB106" s="5">
        <v>246363.42</v>
      </c>
    </row>
    <row r="107" spans="1:28" ht="12.75">
      <c r="A107" s="5">
        <v>50</v>
      </c>
      <c r="B107" s="5">
        <v>0</v>
      </c>
      <c r="C107" s="5">
        <v>0</v>
      </c>
      <c r="D107" s="5">
        <v>1</v>
      </c>
      <c r="E107" s="5">
        <v>215</v>
      </c>
      <c r="F107" s="5">
        <f>ROUND(Source!AT89,O107)</f>
        <v>0</v>
      </c>
      <c r="G107" s="5" t="s">
        <v>97</v>
      </c>
      <c r="H107" s="5" t="s">
        <v>98</v>
      </c>
      <c r="I107" s="5"/>
      <c r="J107" s="5"/>
      <c r="K107" s="5">
        <v>215</v>
      </c>
      <c r="L107" s="5">
        <v>17</v>
      </c>
      <c r="M107" s="5">
        <v>3</v>
      </c>
      <c r="N107" s="5" t="s">
        <v>3</v>
      </c>
      <c r="O107" s="5">
        <v>2</v>
      </c>
      <c r="P107" s="5">
        <f>ROUND(Source!EL89,O107)</f>
        <v>0</v>
      </c>
      <c r="Q107" s="5"/>
      <c r="R107" s="5"/>
      <c r="S107" s="5"/>
      <c r="T107" s="5"/>
      <c r="U107" s="5"/>
      <c r="V107" s="5"/>
      <c r="W107" s="5">
        <v>0</v>
      </c>
      <c r="X107" s="5">
        <v>1</v>
      </c>
      <c r="Y107" s="5">
        <v>0</v>
      </c>
      <c r="Z107" s="5">
        <v>0</v>
      </c>
      <c r="AA107" s="5">
        <v>1</v>
      </c>
      <c r="AB107" s="5">
        <v>0</v>
      </c>
    </row>
    <row r="108" spans="1:28" ht="12.75">
      <c r="A108" s="5">
        <v>50</v>
      </c>
      <c r="B108" s="5">
        <v>0</v>
      </c>
      <c r="C108" s="5">
        <v>0</v>
      </c>
      <c r="D108" s="5">
        <v>1</v>
      </c>
      <c r="E108" s="5">
        <v>217</v>
      </c>
      <c r="F108" s="5">
        <f>ROUND(Source!AU89,O108)</f>
        <v>0</v>
      </c>
      <c r="G108" s="5" t="s">
        <v>99</v>
      </c>
      <c r="H108" s="5" t="s">
        <v>100</v>
      </c>
      <c r="I108" s="5"/>
      <c r="J108" s="5"/>
      <c r="K108" s="5">
        <v>217</v>
      </c>
      <c r="L108" s="5">
        <v>18</v>
      </c>
      <c r="M108" s="5">
        <v>3</v>
      </c>
      <c r="N108" s="5" t="s">
        <v>3</v>
      </c>
      <c r="O108" s="5">
        <v>2</v>
      </c>
      <c r="P108" s="5">
        <f>ROUND(Source!EM89,O108)</f>
        <v>0</v>
      </c>
      <c r="Q108" s="5"/>
      <c r="R108" s="5"/>
      <c r="S108" s="5"/>
      <c r="T108" s="5"/>
      <c r="U108" s="5"/>
      <c r="V108" s="5"/>
      <c r="W108" s="5">
        <v>0</v>
      </c>
      <c r="X108" s="5">
        <v>1</v>
      </c>
      <c r="Y108" s="5">
        <v>0</v>
      </c>
      <c r="Z108" s="5">
        <v>0</v>
      </c>
      <c r="AA108" s="5">
        <v>1</v>
      </c>
      <c r="AB108" s="5">
        <v>0</v>
      </c>
    </row>
    <row r="109" spans="1:28" ht="12.75">
      <c r="A109" s="5">
        <v>50</v>
      </c>
      <c r="B109" s="5">
        <v>0</v>
      </c>
      <c r="C109" s="5">
        <v>0</v>
      </c>
      <c r="D109" s="5">
        <v>1</v>
      </c>
      <c r="E109" s="5">
        <v>230</v>
      </c>
      <c r="F109" s="5">
        <f>ROUND(Source!BA89,O109)</f>
        <v>0</v>
      </c>
      <c r="G109" s="5" t="s">
        <v>101</v>
      </c>
      <c r="H109" s="5" t="s">
        <v>102</v>
      </c>
      <c r="I109" s="5"/>
      <c r="J109" s="5"/>
      <c r="K109" s="5">
        <v>230</v>
      </c>
      <c r="L109" s="5">
        <v>19</v>
      </c>
      <c r="M109" s="5">
        <v>3</v>
      </c>
      <c r="N109" s="5" t="s">
        <v>3</v>
      </c>
      <c r="O109" s="5">
        <v>2</v>
      </c>
      <c r="P109" s="5">
        <f>ROUND(Source!ES89,O109)</f>
        <v>0</v>
      </c>
      <c r="Q109" s="5"/>
      <c r="R109" s="5"/>
      <c r="S109" s="5"/>
      <c r="T109" s="5"/>
      <c r="U109" s="5"/>
      <c r="V109" s="5"/>
      <c r="W109" s="5">
        <v>0</v>
      </c>
      <c r="X109" s="5">
        <v>1</v>
      </c>
      <c r="Y109" s="5">
        <v>0</v>
      </c>
      <c r="Z109" s="5">
        <v>0</v>
      </c>
      <c r="AA109" s="5">
        <v>1</v>
      </c>
      <c r="AB109" s="5">
        <v>0</v>
      </c>
    </row>
    <row r="110" spans="1:28" ht="12.75">
      <c r="A110" s="5">
        <v>50</v>
      </c>
      <c r="B110" s="5">
        <v>0</v>
      </c>
      <c r="C110" s="5">
        <v>0</v>
      </c>
      <c r="D110" s="5">
        <v>1</v>
      </c>
      <c r="E110" s="5">
        <v>206</v>
      </c>
      <c r="F110" s="5">
        <f>ROUND(Source!T89,O110)</f>
        <v>0</v>
      </c>
      <c r="G110" s="5" t="s">
        <v>103</v>
      </c>
      <c r="H110" s="5" t="s">
        <v>104</v>
      </c>
      <c r="I110" s="5"/>
      <c r="J110" s="5"/>
      <c r="K110" s="5">
        <v>206</v>
      </c>
      <c r="L110" s="5">
        <v>20</v>
      </c>
      <c r="M110" s="5">
        <v>3</v>
      </c>
      <c r="N110" s="5" t="s">
        <v>3</v>
      </c>
      <c r="O110" s="5">
        <v>2</v>
      </c>
      <c r="P110" s="5">
        <f>ROUND(Source!DL89,O110)</f>
        <v>0</v>
      </c>
      <c r="Q110" s="5"/>
      <c r="R110" s="5"/>
      <c r="S110" s="5"/>
      <c r="T110" s="5"/>
      <c r="U110" s="5"/>
      <c r="V110" s="5"/>
      <c r="W110" s="5">
        <v>0</v>
      </c>
      <c r="X110" s="5">
        <v>1</v>
      </c>
      <c r="Y110" s="5">
        <v>0</v>
      </c>
      <c r="Z110" s="5">
        <v>0</v>
      </c>
      <c r="AA110" s="5">
        <v>1</v>
      </c>
      <c r="AB110" s="5">
        <v>0</v>
      </c>
    </row>
    <row r="111" spans="1:28" ht="12.75">
      <c r="A111" s="5">
        <v>50</v>
      </c>
      <c r="B111" s="5">
        <v>0</v>
      </c>
      <c r="C111" s="5">
        <v>0</v>
      </c>
      <c r="D111" s="5">
        <v>1</v>
      </c>
      <c r="E111" s="5">
        <v>207</v>
      </c>
      <c r="F111" s="5">
        <f>Source!U89</f>
        <v>120.71803</v>
      </c>
      <c r="G111" s="5" t="s">
        <v>105</v>
      </c>
      <c r="H111" s="5" t="s">
        <v>106</v>
      </c>
      <c r="I111" s="5"/>
      <c r="J111" s="5"/>
      <c r="K111" s="5">
        <v>207</v>
      </c>
      <c r="L111" s="5">
        <v>21</v>
      </c>
      <c r="M111" s="5">
        <v>3</v>
      </c>
      <c r="N111" s="5" t="s">
        <v>3</v>
      </c>
      <c r="O111" s="5">
        <v>-1</v>
      </c>
      <c r="P111" s="5">
        <f>Source!DM89</f>
        <v>120.71803</v>
      </c>
      <c r="Q111" s="5"/>
      <c r="R111" s="5"/>
      <c r="S111" s="5"/>
      <c r="T111" s="5"/>
      <c r="U111" s="5"/>
      <c r="V111" s="5"/>
      <c r="W111" s="5">
        <v>120.71803</v>
      </c>
      <c r="X111" s="5">
        <v>1</v>
      </c>
      <c r="Y111" s="5">
        <v>120.71803</v>
      </c>
      <c r="Z111" s="5">
        <v>120.71803</v>
      </c>
      <c r="AA111" s="5">
        <v>1</v>
      </c>
      <c r="AB111" s="5">
        <v>120.71803</v>
      </c>
    </row>
    <row r="112" spans="1:28" ht="12.75">
      <c r="A112" s="5">
        <v>50</v>
      </c>
      <c r="B112" s="5">
        <v>0</v>
      </c>
      <c r="C112" s="5">
        <v>0</v>
      </c>
      <c r="D112" s="5">
        <v>1</v>
      </c>
      <c r="E112" s="5">
        <v>208</v>
      </c>
      <c r="F112" s="5">
        <f>Source!V89</f>
        <v>2.3238125</v>
      </c>
      <c r="G112" s="5" t="s">
        <v>107</v>
      </c>
      <c r="H112" s="5" t="s">
        <v>108</v>
      </c>
      <c r="I112" s="5"/>
      <c r="J112" s="5"/>
      <c r="K112" s="5">
        <v>208</v>
      </c>
      <c r="L112" s="5">
        <v>22</v>
      </c>
      <c r="M112" s="5">
        <v>3</v>
      </c>
      <c r="N112" s="5" t="s">
        <v>3</v>
      </c>
      <c r="O112" s="5">
        <v>-1</v>
      </c>
      <c r="P112" s="5">
        <f>Source!DN89</f>
        <v>2.3238125</v>
      </c>
      <c r="Q112" s="5"/>
      <c r="R112" s="5"/>
      <c r="S112" s="5"/>
      <c r="T112" s="5"/>
      <c r="U112" s="5"/>
      <c r="V112" s="5"/>
      <c r="W112" s="5">
        <v>2.3238125</v>
      </c>
      <c r="X112" s="5">
        <v>1</v>
      </c>
      <c r="Y112" s="5">
        <v>2.3238125</v>
      </c>
      <c r="Z112" s="5">
        <v>2.3238125</v>
      </c>
      <c r="AA112" s="5">
        <v>1</v>
      </c>
      <c r="AB112" s="5">
        <v>2.3238125</v>
      </c>
    </row>
    <row r="113" spans="1:28" ht="12.75">
      <c r="A113" s="5">
        <v>50</v>
      </c>
      <c r="B113" s="5">
        <v>0</v>
      </c>
      <c r="C113" s="5">
        <v>0</v>
      </c>
      <c r="D113" s="5">
        <v>1</v>
      </c>
      <c r="E113" s="5">
        <v>209</v>
      </c>
      <c r="F113" s="5">
        <f>ROUND(Source!W89,O113)</f>
        <v>0</v>
      </c>
      <c r="G113" s="5" t="s">
        <v>109</v>
      </c>
      <c r="H113" s="5" t="s">
        <v>110</v>
      </c>
      <c r="I113" s="5"/>
      <c r="J113" s="5"/>
      <c r="K113" s="5">
        <v>209</v>
      </c>
      <c r="L113" s="5">
        <v>23</v>
      </c>
      <c r="M113" s="5">
        <v>3</v>
      </c>
      <c r="N113" s="5" t="s">
        <v>3</v>
      </c>
      <c r="O113" s="5">
        <v>2</v>
      </c>
      <c r="P113" s="5">
        <f>ROUND(Source!DO89,O113)</f>
        <v>0</v>
      </c>
      <c r="Q113" s="5"/>
      <c r="R113" s="5"/>
      <c r="S113" s="5"/>
      <c r="T113" s="5"/>
      <c r="U113" s="5"/>
      <c r="V113" s="5"/>
      <c r="W113" s="5">
        <v>0</v>
      </c>
      <c r="X113" s="5">
        <v>1</v>
      </c>
      <c r="Y113" s="5">
        <v>0</v>
      </c>
      <c r="Z113" s="5">
        <v>0</v>
      </c>
      <c r="AA113" s="5">
        <v>1</v>
      </c>
      <c r="AB113" s="5">
        <v>0</v>
      </c>
    </row>
    <row r="114" spans="1:28" ht="12.75">
      <c r="A114" s="5">
        <v>50</v>
      </c>
      <c r="B114" s="5">
        <v>0</v>
      </c>
      <c r="C114" s="5">
        <v>0</v>
      </c>
      <c r="D114" s="5">
        <v>1</v>
      </c>
      <c r="E114" s="5">
        <v>233</v>
      </c>
      <c r="F114" s="5">
        <f>ROUND(Source!BD89,O114)</f>
        <v>0</v>
      </c>
      <c r="G114" s="5" t="s">
        <v>111</v>
      </c>
      <c r="H114" s="5" t="s">
        <v>112</v>
      </c>
      <c r="I114" s="5"/>
      <c r="J114" s="5"/>
      <c r="K114" s="5">
        <v>233</v>
      </c>
      <c r="L114" s="5">
        <v>24</v>
      </c>
      <c r="M114" s="5">
        <v>3</v>
      </c>
      <c r="N114" s="5" t="s">
        <v>3</v>
      </c>
      <c r="O114" s="5">
        <v>2</v>
      </c>
      <c r="P114" s="5">
        <f>ROUND(Source!EV89,O114)</f>
        <v>0</v>
      </c>
      <c r="Q114" s="5"/>
      <c r="R114" s="5"/>
      <c r="S114" s="5"/>
      <c r="T114" s="5"/>
      <c r="U114" s="5"/>
      <c r="V114" s="5"/>
      <c r="W114" s="5">
        <v>0</v>
      </c>
      <c r="X114" s="5">
        <v>1</v>
      </c>
      <c r="Y114" s="5">
        <v>0</v>
      </c>
      <c r="Z114" s="5">
        <v>0</v>
      </c>
      <c r="AA114" s="5">
        <v>1</v>
      </c>
      <c r="AB114" s="5">
        <v>0</v>
      </c>
    </row>
    <row r="115" spans="1:28" ht="12.75">
      <c r="A115" s="5">
        <v>50</v>
      </c>
      <c r="B115" s="5">
        <v>0</v>
      </c>
      <c r="C115" s="5">
        <v>0</v>
      </c>
      <c r="D115" s="5">
        <v>1</v>
      </c>
      <c r="E115" s="5">
        <v>210</v>
      </c>
      <c r="F115" s="5">
        <f>ROUND(Source!X89,O115)</f>
        <v>1391.39</v>
      </c>
      <c r="G115" s="5" t="s">
        <v>113</v>
      </c>
      <c r="H115" s="5" t="s">
        <v>114</v>
      </c>
      <c r="I115" s="5"/>
      <c r="J115" s="5"/>
      <c r="K115" s="5">
        <v>210</v>
      </c>
      <c r="L115" s="5">
        <v>25</v>
      </c>
      <c r="M115" s="5">
        <v>3</v>
      </c>
      <c r="N115" s="5" t="s">
        <v>3</v>
      </c>
      <c r="O115" s="5">
        <v>2</v>
      </c>
      <c r="P115" s="5">
        <f>ROUND(Source!DP89,O115)</f>
        <v>51300.35</v>
      </c>
      <c r="Q115" s="5"/>
      <c r="R115" s="5"/>
      <c r="S115" s="5"/>
      <c r="T115" s="5"/>
      <c r="U115" s="5"/>
      <c r="V115" s="5"/>
      <c r="W115" s="5">
        <v>1391.39</v>
      </c>
      <c r="X115" s="5">
        <v>1</v>
      </c>
      <c r="Y115" s="5">
        <v>1391.39</v>
      </c>
      <c r="Z115" s="5">
        <v>51300.35</v>
      </c>
      <c r="AA115" s="5">
        <v>1</v>
      </c>
      <c r="AB115" s="5">
        <v>51300.35</v>
      </c>
    </row>
    <row r="116" spans="1:28" ht="12.75">
      <c r="A116" s="5">
        <v>50</v>
      </c>
      <c r="B116" s="5">
        <v>0</v>
      </c>
      <c r="C116" s="5">
        <v>0</v>
      </c>
      <c r="D116" s="5">
        <v>1</v>
      </c>
      <c r="E116" s="5">
        <v>211</v>
      </c>
      <c r="F116" s="5">
        <f>ROUND(Source!Y89,O116)</f>
        <v>1197.88</v>
      </c>
      <c r="G116" s="5" t="s">
        <v>115</v>
      </c>
      <c r="H116" s="5" t="s">
        <v>116</v>
      </c>
      <c r="I116" s="5"/>
      <c r="J116" s="5"/>
      <c r="K116" s="5">
        <v>211</v>
      </c>
      <c r="L116" s="5">
        <v>26</v>
      </c>
      <c r="M116" s="5">
        <v>3</v>
      </c>
      <c r="N116" s="5" t="s">
        <v>3</v>
      </c>
      <c r="O116" s="5">
        <v>2</v>
      </c>
      <c r="P116" s="5">
        <f>ROUND(Source!DQ89,O116)</f>
        <v>44165.61</v>
      </c>
      <c r="Q116" s="5"/>
      <c r="R116" s="5"/>
      <c r="S116" s="5"/>
      <c r="T116" s="5"/>
      <c r="U116" s="5"/>
      <c r="V116" s="5"/>
      <c r="W116" s="5">
        <v>1197.88</v>
      </c>
      <c r="X116" s="5">
        <v>1</v>
      </c>
      <c r="Y116" s="5">
        <v>1197.88</v>
      </c>
      <c r="Z116" s="5">
        <v>44165.61</v>
      </c>
      <c r="AA116" s="5">
        <v>1</v>
      </c>
      <c r="AB116" s="5">
        <v>44165.61</v>
      </c>
    </row>
    <row r="117" spans="1:28" ht="12.75">
      <c r="A117" s="5">
        <v>50</v>
      </c>
      <c r="B117" s="5">
        <v>0</v>
      </c>
      <c r="C117" s="5">
        <v>0</v>
      </c>
      <c r="D117" s="5">
        <v>1</v>
      </c>
      <c r="E117" s="5">
        <v>224</v>
      </c>
      <c r="F117" s="5">
        <f>ROUND(Source!AR89,O117)</f>
        <v>20071.1</v>
      </c>
      <c r="G117" s="5" t="s">
        <v>117</v>
      </c>
      <c r="H117" s="5" t="s">
        <v>118</v>
      </c>
      <c r="I117" s="5"/>
      <c r="J117" s="5"/>
      <c r="K117" s="5">
        <v>224</v>
      </c>
      <c r="L117" s="5">
        <v>27</v>
      </c>
      <c r="M117" s="5">
        <v>3</v>
      </c>
      <c r="N117" s="5" t="s">
        <v>3</v>
      </c>
      <c r="O117" s="5">
        <v>2</v>
      </c>
      <c r="P117" s="5">
        <f>ROUND(Source!EJ89,O117)</f>
        <v>246363.42</v>
      </c>
      <c r="Q117" s="5"/>
      <c r="R117" s="5"/>
      <c r="S117" s="5"/>
      <c r="T117" s="5"/>
      <c r="U117" s="5"/>
      <c r="V117" s="5"/>
      <c r="W117" s="5">
        <v>20071.1</v>
      </c>
      <c r="X117" s="5">
        <v>1</v>
      </c>
      <c r="Y117" s="5">
        <v>20071.1</v>
      </c>
      <c r="Z117" s="5">
        <v>246363.41999999998</v>
      </c>
      <c r="AA117" s="5">
        <v>1</v>
      </c>
      <c r="AB117" s="5">
        <v>246363.41999999998</v>
      </c>
    </row>
    <row r="118" spans="1:28" ht="12.75">
      <c r="A118" s="5">
        <v>50</v>
      </c>
      <c r="B118" s="5">
        <v>1</v>
      </c>
      <c r="C118" s="5">
        <v>0</v>
      </c>
      <c r="D118" s="5">
        <v>2</v>
      </c>
      <c r="E118" s="5">
        <v>0</v>
      </c>
      <c r="F118" s="5">
        <f>ROUND(F117,O118)</f>
        <v>20071.1</v>
      </c>
      <c r="G118" s="5" t="s">
        <v>119</v>
      </c>
      <c r="H118" s="5" t="s">
        <v>120</v>
      </c>
      <c r="I118" s="5"/>
      <c r="J118" s="5"/>
      <c r="K118" s="5">
        <v>212</v>
      </c>
      <c r="L118" s="5">
        <v>28</v>
      </c>
      <c r="M118" s="5">
        <v>0</v>
      </c>
      <c r="N118" s="5" t="s">
        <v>3</v>
      </c>
      <c r="O118" s="5">
        <v>2</v>
      </c>
      <c r="P118" s="5">
        <f>ROUND(P117,O118)</f>
        <v>246363.42</v>
      </c>
      <c r="Q118" s="5"/>
      <c r="R118" s="5"/>
      <c r="S118" s="5"/>
      <c r="T118" s="5"/>
      <c r="U118" s="5"/>
      <c r="V118" s="5"/>
      <c r="W118" s="5">
        <v>20071.1</v>
      </c>
      <c r="X118" s="5">
        <v>1</v>
      </c>
      <c r="Y118" s="5">
        <v>20071.1</v>
      </c>
      <c r="Z118" s="5">
        <v>246363.42</v>
      </c>
      <c r="AA118" s="5">
        <v>1</v>
      </c>
      <c r="AB118" s="5">
        <v>246363.42</v>
      </c>
    </row>
    <row r="120" spans="1:88" ht="12.75">
      <c r="A120" s="1">
        <v>4</v>
      </c>
      <c r="B120" s="1">
        <v>1</v>
      </c>
      <c r="C120" s="1"/>
      <c r="D120" s="1">
        <f>ROW(A129)</f>
        <v>129</v>
      </c>
      <c r="E120" s="1"/>
      <c r="F120" s="1" t="s">
        <v>149</v>
      </c>
      <c r="G120" s="1" t="s">
        <v>150</v>
      </c>
      <c r="H120" s="1" t="s">
        <v>3</v>
      </c>
      <c r="I120" s="1">
        <v>0</v>
      </c>
      <c r="J120" s="1"/>
      <c r="K120" s="1">
        <v>0</v>
      </c>
      <c r="L120" s="1"/>
      <c r="M120" s="1" t="s">
        <v>3</v>
      </c>
      <c r="N120" s="1"/>
      <c r="O120" s="1"/>
      <c r="P120" s="1"/>
      <c r="Q120" s="1"/>
      <c r="R120" s="1"/>
      <c r="S120" s="1">
        <v>0</v>
      </c>
      <c r="T120" s="1">
        <v>0</v>
      </c>
      <c r="U120" s="1" t="s">
        <v>3</v>
      </c>
      <c r="V120" s="1">
        <v>0</v>
      </c>
      <c r="W120" s="1"/>
      <c r="X120" s="1"/>
      <c r="Y120" s="1"/>
      <c r="Z120" s="1"/>
      <c r="AA120" s="1"/>
      <c r="AB120" s="1" t="s">
        <v>3</v>
      </c>
      <c r="AC120" s="1" t="s">
        <v>3</v>
      </c>
      <c r="AD120" s="1" t="s">
        <v>3</v>
      </c>
      <c r="AE120" s="1" t="s">
        <v>3</v>
      </c>
      <c r="AF120" s="1" t="s">
        <v>3</v>
      </c>
      <c r="AG120" s="1" t="s">
        <v>3</v>
      </c>
      <c r="AH120" s="1"/>
      <c r="AI120" s="1"/>
      <c r="AJ120" s="1"/>
      <c r="AK120" s="1"/>
      <c r="AL120" s="1"/>
      <c r="AM120" s="1"/>
      <c r="AN120" s="1"/>
      <c r="AO120" s="1"/>
      <c r="AP120" s="1" t="s">
        <v>3</v>
      </c>
      <c r="AQ120" s="1" t="s">
        <v>3</v>
      </c>
      <c r="AR120" s="1" t="s">
        <v>3</v>
      </c>
      <c r="AS120" s="1"/>
      <c r="AT120" s="1"/>
      <c r="AU120" s="1"/>
      <c r="AV120" s="1"/>
      <c r="AW120" s="1"/>
      <c r="AX120" s="1"/>
      <c r="AY120" s="1"/>
      <c r="AZ120" s="1" t="s">
        <v>3</v>
      </c>
      <c r="BA120" s="1"/>
      <c r="BB120" s="1" t="s">
        <v>3</v>
      </c>
      <c r="BC120" s="1" t="s">
        <v>3</v>
      </c>
      <c r="BD120" s="1" t="s">
        <v>3</v>
      </c>
      <c r="BE120" s="1" t="s">
        <v>3</v>
      </c>
      <c r="BF120" s="1" t="s">
        <v>3</v>
      </c>
      <c r="BG120" s="1" t="s">
        <v>3</v>
      </c>
      <c r="BH120" s="1" t="s">
        <v>3</v>
      </c>
      <c r="BI120" s="1" t="s">
        <v>3</v>
      </c>
      <c r="BJ120" s="1" t="s">
        <v>3</v>
      </c>
      <c r="BK120" s="1" t="s">
        <v>3</v>
      </c>
      <c r="BL120" s="1" t="s">
        <v>3</v>
      </c>
      <c r="BM120" s="1" t="s">
        <v>3</v>
      </c>
      <c r="BN120" s="1" t="s">
        <v>3</v>
      </c>
      <c r="BO120" s="1" t="s">
        <v>3</v>
      </c>
      <c r="BP120" s="1" t="s">
        <v>3</v>
      </c>
      <c r="BQ120" s="1"/>
      <c r="BR120" s="1"/>
      <c r="BS120" s="1"/>
      <c r="BT120" s="1"/>
      <c r="BU120" s="1"/>
      <c r="BV120" s="1"/>
      <c r="BW120" s="1"/>
      <c r="BX120" s="1">
        <v>0</v>
      </c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>
        <v>0</v>
      </c>
    </row>
    <row r="122" spans="1:206" ht="12.75">
      <c r="A122" s="3">
        <v>52</v>
      </c>
      <c r="B122" s="3">
        <f aca="true" t="shared" si="110" ref="B122:G122">B129</f>
        <v>1</v>
      </c>
      <c r="C122" s="3">
        <f t="shared" si="110"/>
        <v>4</v>
      </c>
      <c r="D122" s="3">
        <f t="shared" si="110"/>
        <v>120</v>
      </c>
      <c r="E122" s="3">
        <f t="shared" si="110"/>
        <v>0</v>
      </c>
      <c r="F122" s="3" t="str">
        <f t="shared" si="110"/>
        <v>Новый раздел</v>
      </c>
      <c r="G122" s="3" t="str">
        <f t="shared" si="110"/>
        <v>Разные работы</v>
      </c>
      <c r="H122" s="3"/>
      <c r="I122" s="3"/>
      <c r="J122" s="3"/>
      <c r="K122" s="3"/>
      <c r="L122" s="3"/>
      <c r="M122" s="3"/>
      <c r="N122" s="3"/>
      <c r="O122" s="3">
        <f aca="true" t="shared" si="111" ref="O122:AT122">O129</f>
        <v>0</v>
      </c>
      <c r="P122" s="3">
        <f t="shared" si="111"/>
        <v>0</v>
      </c>
      <c r="Q122" s="3">
        <f t="shared" si="111"/>
        <v>0</v>
      </c>
      <c r="R122" s="3">
        <f t="shared" si="111"/>
        <v>0</v>
      </c>
      <c r="S122" s="3">
        <f t="shared" si="111"/>
        <v>0</v>
      </c>
      <c r="T122" s="3">
        <f t="shared" si="111"/>
        <v>0</v>
      </c>
      <c r="U122" s="3">
        <f t="shared" si="111"/>
        <v>0</v>
      </c>
      <c r="V122" s="3">
        <f t="shared" si="111"/>
        <v>0</v>
      </c>
      <c r="W122" s="3">
        <f t="shared" si="111"/>
        <v>0</v>
      </c>
      <c r="X122" s="3">
        <f t="shared" si="111"/>
        <v>0</v>
      </c>
      <c r="Y122" s="3">
        <f t="shared" si="111"/>
        <v>0</v>
      </c>
      <c r="Z122" s="3">
        <f t="shared" si="111"/>
        <v>0</v>
      </c>
      <c r="AA122" s="3">
        <f t="shared" si="111"/>
        <v>0</v>
      </c>
      <c r="AB122" s="3">
        <f t="shared" si="111"/>
        <v>0</v>
      </c>
      <c r="AC122" s="3">
        <f t="shared" si="111"/>
        <v>0</v>
      </c>
      <c r="AD122" s="3">
        <f t="shared" si="111"/>
        <v>0</v>
      </c>
      <c r="AE122" s="3">
        <f t="shared" si="111"/>
        <v>0</v>
      </c>
      <c r="AF122" s="3">
        <f t="shared" si="111"/>
        <v>0</v>
      </c>
      <c r="AG122" s="3">
        <f t="shared" si="111"/>
        <v>0</v>
      </c>
      <c r="AH122" s="3">
        <f t="shared" si="111"/>
        <v>0</v>
      </c>
      <c r="AI122" s="3">
        <f t="shared" si="111"/>
        <v>0</v>
      </c>
      <c r="AJ122" s="3">
        <f t="shared" si="111"/>
        <v>0</v>
      </c>
      <c r="AK122" s="3">
        <f t="shared" si="111"/>
        <v>0</v>
      </c>
      <c r="AL122" s="3">
        <f t="shared" si="111"/>
        <v>0</v>
      </c>
      <c r="AM122" s="3">
        <f t="shared" si="111"/>
        <v>0</v>
      </c>
      <c r="AN122" s="3">
        <f t="shared" si="111"/>
        <v>0</v>
      </c>
      <c r="AO122" s="3">
        <f t="shared" si="111"/>
        <v>0</v>
      </c>
      <c r="AP122" s="3">
        <f t="shared" si="111"/>
        <v>0</v>
      </c>
      <c r="AQ122" s="3">
        <f t="shared" si="111"/>
        <v>0</v>
      </c>
      <c r="AR122" s="3">
        <f t="shared" si="111"/>
        <v>815.14</v>
      </c>
      <c r="AS122" s="3">
        <f t="shared" si="111"/>
        <v>815.14</v>
      </c>
      <c r="AT122" s="3">
        <f t="shared" si="111"/>
        <v>0</v>
      </c>
      <c r="AU122" s="3">
        <f aca="true" t="shared" si="112" ref="AU122:BZ122">AU129</f>
        <v>0</v>
      </c>
      <c r="AV122" s="3">
        <f t="shared" si="112"/>
        <v>0</v>
      </c>
      <c r="AW122" s="3">
        <f t="shared" si="112"/>
        <v>0</v>
      </c>
      <c r="AX122" s="3">
        <f t="shared" si="112"/>
        <v>0</v>
      </c>
      <c r="AY122" s="3">
        <f t="shared" si="112"/>
        <v>0</v>
      </c>
      <c r="AZ122" s="3">
        <f t="shared" si="112"/>
        <v>0</v>
      </c>
      <c r="BA122" s="3">
        <f t="shared" si="112"/>
        <v>0</v>
      </c>
      <c r="BB122" s="3">
        <f t="shared" si="112"/>
        <v>0</v>
      </c>
      <c r="BC122" s="3">
        <f t="shared" si="112"/>
        <v>0</v>
      </c>
      <c r="BD122" s="3">
        <f t="shared" si="112"/>
        <v>815.14</v>
      </c>
      <c r="BE122" s="3">
        <f t="shared" si="112"/>
        <v>0</v>
      </c>
      <c r="BF122" s="3">
        <f t="shared" si="112"/>
        <v>0</v>
      </c>
      <c r="BG122" s="3">
        <f t="shared" si="112"/>
        <v>0</v>
      </c>
      <c r="BH122" s="3">
        <f t="shared" si="112"/>
        <v>0</v>
      </c>
      <c r="BI122" s="3">
        <f t="shared" si="112"/>
        <v>0</v>
      </c>
      <c r="BJ122" s="3">
        <f t="shared" si="112"/>
        <v>0</v>
      </c>
      <c r="BK122" s="3">
        <f t="shared" si="112"/>
        <v>0</v>
      </c>
      <c r="BL122" s="3">
        <f t="shared" si="112"/>
        <v>0</v>
      </c>
      <c r="BM122" s="3">
        <f t="shared" si="112"/>
        <v>0</v>
      </c>
      <c r="BN122" s="3">
        <f t="shared" si="112"/>
        <v>0</v>
      </c>
      <c r="BO122" s="3">
        <f t="shared" si="112"/>
        <v>0</v>
      </c>
      <c r="BP122" s="3">
        <f t="shared" si="112"/>
        <v>0</v>
      </c>
      <c r="BQ122" s="3">
        <f t="shared" si="112"/>
        <v>0</v>
      </c>
      <c r="BR122" s="3">
        <f t="shared" si="112"/>
        <v>0</v>
      </c>
      <c r="BS122" s="3">
        <f t="shared" si="112"/>
        <v>0</v>
      </c>
      <c r="BT122" s="3">
        <f t="shared" si="112"/>
        <v>0</v>
      </c>
      <c r="BU122" s="3">
        <f t="shared" si="112"/>
        <v>0</v>
      </c>
      <c r="BV122" s="3">
        <f t="shared" si="112"/>
        <v>0</v>
      </c>
      <c r="BW122" s="3">
        <f t="shared" si="112"/>
        <v>0</v>
      </c>
      <c r="BX122" s="3">
        <f t="shared" si="112"/>
        <v>0</v>
      </c>
      <c r="BY122" s="3">
        <f t="shared" si="112"/>
        <v>0</v>
      </c>
      <c r="BZ122" s="3">
        <f t="shared" si="112"/>
        <v>0</v>
      </c>
      <c r="CA122" s="3">
        <f aca="true" t="shared" si="113" ref="CA122:DF122">CA129</f>
        <v>815.14</v>
      </c>
      <c r="CB122" s="3">
        <f t="shared" si="113"/>
        <v>815.14</v>
      </c>
      <c r="CC122" s="3">
        <f t="shared" si="113"/>
        <v>0</v>
      </c>
      <c r="CD122" s="3">
        <f t="shared" si="113"/>
        <v>0</v>
      </c>
      <c r="CE122" s="3">
        <f t="shared" si="113"/>
        <v>0</v>
      </c>
      <c r="CF122" s="3">
        <f t="shared" si="113"/>
        <v>0</v>
      </c>
      <c r="CG122" s="3">
        <f t="shared" si="113"/>
        <v>0</v>
      </c>
      <c r="CH122" s="3">
        <f t="shared" si="113"/>
        <v>0</v>
      </c>
      <c r="CI122" s="3">
        <f t="shared" si="113"/>
        <v>0</v>
      </c>
      <c r="CJ122" s="3">
        <f t="shared" si="113"/>
        <v>0</v>
      </c>
      <c r="CK122" s="3">
        <f t="shared" si="113"/>
        <v>0</v>
      </c>
      <c r="CL122" s="3">
        <f t="shared" si="113"/>
        <v>0</v>
      </c>
      <c r="CM122" s="3">
        <f t="shared" si="113"/>
        <v>815.14</v>
      </c>
      <c r="CN122" s="3">
        <f t="shared" si="113"/>
        <v>0</v>
      </c>
      <c r="CO122" s="3">
        <f t="shared" si="113"/>
        <v>0</v>
      </c>
      <c r="CP122" s="3">
        <f t="shared" si="113"/>
        <v>0</v>
      </c>
      <c r="CQ122" s="3">
        <f t="shared" si="113"/>
        <v>0</v>
      </c>
      <c r="CR122" s="3">
        <f t="shared" si="113"/>
        <v>0</v>
      </c>
      <c r="CS122" s="3">
        <f t="shared" si="113"/>
        <v>0</v>
      </c>
      <c r="CT122" s="3">
        <f t="shared" si="113"/>
        <v>0</v>
      </c>
      <c r="CU122" s="3">
        <f t="shared" si="113"/>
        <v>0</v>
      </c>
      <c r="CV122" s="3">
        <f t="shared" si="113"/>
        <v>0</v>
      </c>
      <c r="CW122" s="3">
        <f t="shared" si="113"/>
        <v>0</v>
      </c>
      <c r="CX122" s="3">
        <f t="shared" si="113"/>
        <v>0</v>
      </c>
      <c r="CY122" s="3">
        <f t="shared" si="113"/>
        <v>0</v>
      </c>
      <c r="CZ122" s="3">
        <f t="shared" si="113"/>
        <v>0</v>
      </c>
      <c r="DA122" s="3">
        <f t="shared" si="113"/>
        <v>0</v>
      </c>
      <c r="DB122" s="3">
        <f t="shared" si="113"/>
        <v>0</v>
      </c>
      <c r="DC122" s="3">
        <f t="shared" si="113"/>
        <v>0</v>
      </c>
      <c r="DD122" s="3">
        <f t="shared" si="113"/>
        <v>0</v>
      </c>
      <c r="DE122" s="3">
        <f t="shared" si="113"/>
        <v>0</v>
      </c>
      <c r="DF122" s="3">
        <f t="shared" si="113"/>
        <v>0</v>
      </c>
      <c r="DG122" s="4">
        <f aca="true" t="shared" si="114" ref="DG122:EL122">DG129</f>
        <v>0</v>
      </c>
      <c r="DH122" s="4">
        <f t="shared" si="114"/>
        <v>0</v>
      </c>
      <c r="DI122" s="4">
        <f t="shared" si="114"/>
        <v>0</v>
      </c>
      <c r="DJ122" s="4">
        <f t="shared" si="114"/>
        <v>0</v>
      </c>
      <c r="DK122" s="4">
        <f t="shared" si="114"/>
        <v>0</v>
      </c>
      <c r="DL122" s="4">
        <f t="shared" si="114"/>
        <v>0</v>
      </c>
      <c r="DM122" s="4">
        <f t="shared" si="114"/>
        <v>0</v>
      </c>
      <c r="DN122" s="4">
        <f t="shared" si="114"/>
        <v>0</v>
      </c>
      <c r="DO122" s="4">
        <f t="shared" si="114"/>
        <v>0</v>
      </c>
      <c r="DP122" s="4">
        <f t="shared" si="114"/>
        <v>0</v>
      </c>
      <c r="DQ122" s="4">
        <f t="shared" si="114"/>
        <v>0</v>
      </c>
      <c r="DR122" s="4">
        <f t="shared" si="114"/>
        <v>0</v>
      </c>
      <c r="DS122" s="4">
        <f t="shared" si="114"/>
        <v>0</v>
      </c>
      <c r="DT122" s="4">
        <f t="shared" si="114"/>
        <v>0</v>
      </c>
      <c r="DU122" s="4">
        <f t="shared" si="114"/>
        <v>0</v>
      </c>
      <c r="DV122" s="4">
        <f t="shared" si="114"/>
        <v>0</v>
      </c>
      <c r="DW122" s="4">
        <f t="shared" si="114"/>
        <v>0</v>
      </c>
      <c r="DX122" s="4">
        <f t="shared" si="114"/>
        <v>0</v>
      </c>
      <c r="DY122" s="4">
        <f t="shared" si="114"/>
        <v>0</v>
      </c>
      <c r="DZ122" s="4">
        <f t="shared" si="114"/>
        <v>0</v>
      </c>
      <c r="EA122" s="4">
        <f t="shared" si="114"/>
        <v>0</v>
      </c>
      <c r="EB122" s="4">
        <f t="shared" si="114"/>
        <v>0</v>
      </c>
      <c r="EC122" s="4">
        <f t="shared" si="114"/>
        <v>0</v>
      </c>
      <c r="ED122" s="4">
        <f t="shared" si="114"/>
        <v>0</v>
      </c>
      <c r="EE122" s="4">
        <f t="shared" si="114"/>
        <v>0</v>
      </c>
      <c r="EF122" s="4">
        <f t="shared" si="114"/>
        <v>0</v>
      </c>
      <c r="EG122" s="4">
        <f t="shared" si="114"/>
        <v>0</v>
      </c>
      <c r="EH122" s="4">
        <f t="shared" si="114"/>
        <v>0</v>
      </c>
      <c r="EI122" s="4">
        <f t="shared" si="114"/>
        <v>0</v>
      </c>
      <c r="EJ122" s="4">
        <f t="shared" si="114"/>
        <v>10670.17</v>
      </c>
      <c r="EK122" s="4">
        <f t="shared" si="114"/>
        <v>10670.17</v>
      </c>
      <c r="EL122" s="4">
        <f t="shared" si="114"/>
        <v>0</v>
      </c>
      <c r="EM122" s="4">
        <f aca="true" t="shared" si="115" ref="EM122:FR122">EM129</f>
        <v>0</v>
      </c>
      <c r="EN122" s="4">
        <f t="shared" si="115"/>
        <v>0</v>
      </c>
      <c r="EO122" s="4">
        <f t="shared" si="115"/>
        <v>0</v>
      </c>
      <c r="EP122" s="4">
        <f t="shared" si="115"/>
        <v>0</v>
      </c>
      <c r="EQ122" s="4">
        <f t="shared" si="115"/>
        <v>0</v>
      </c>
      <c r="ER122" s="4">
        <f t="shared" si="115"/>
        <v>0</v>
      </c>
      <c r="ES122" s="4">
        <f t="shared" si="115"/>
        <v>0</v>
      </c>
      <c r="ET122" s="4">
        <f t="shared" si="115"/>
        <v>0</v>
      </c>
      <c r="EU122" s="4">
        <f t="shared" si="115"/>
        <v>0</v>
      </c>
      <c r="EV122" s="4">
        <f t="shared" si="115"/>
        <v>10670.17</v>
      </c>
      <c r="EW122" s="4">
        <f t="shared" si="115"/>
        <v>0</v>
      </c>
      <c r="EX122" s="4">
        <f t="shared" si="115"/>
        <v>0</v>
      </c>
      <c r="EY122" s="4">
        <f t="shared" si="115"/>
        <v>0</v>
      </c>
      <c r="EZ122" s="4">
        <f t="shared" si="115"/>
        <v>0</v>
      </c>
      <c r="FA122" s="4">
        <f t="shared" si="115"/>
        <v>0</v>
      </c>
      <c r="FB122" s="4">
        <f t="shared" si="115"/>
        <v>0</v>
      </c>
      <c r="FC122" s="4">
        <f t="shared" si="115"/>
        <v>0</v>
      </c>
      <c r="FD122" s="4">
        <f t="shared" si="115"/>
        <v>0</v>
      </c>
      <c r="FE122" s="4">
        <f t="shared" si="115"/>
        <v>0</v>
      </c>
      <c r="FF122" s="4">
        <f t="shared" si="115"/>
        <v>0</v>
      </c>
      <c r="FG122" s="4">
        <f t="shared" si="115"/>
        <v>0</v>
      </c>
      <c r="FH122" s="4">
        <f t="shared" si="115"/>
        <v>0</v>
      </c>
      <c r="FI122" s="4">
        <f t="shared" si="115"/>
        <v>0</v>
      </c>
      <c r="FJ122" s="4">
        <f t="shared" si="115"/>
        <v>0</v>
      </c>
      <c r="FK122" s="4">
        <f t="shared" si="115"/>
        <v>0</v>
      </c>
      <c r="FL122" s="4">
        <f t="shared" si="115"/>
        <v>0</v>
      </c>
      <c r="FM122" s="4">
        <f t="shared" si="115"/>
        <v>0</v>
      </c>
      <c r="FN122" s="4">
        <f t="shared" si="115"/>
        <v>0</v>
      </c>
      <c r="FO122" s="4">
        <f t="shared" si="115"/>
        <v>0</v>
      </c>
      <c r="FP122" s="4">
        <f t="shared" si="115"/>
        <v>0</v>
      </c>
      <c r="FQ122" s="4">
        <f t="shared" si="115"/>
        <v>0</v>
      </c>
      <c r="FR122" s="4">
        <f t="shared" si="115"/>
        <v>0</v>
      </c>
      <c r="FS122" s="4">
        <f aca="true" t="shared" si="116" ref="FS122:GX122">FS129</f>
        <v>10670.17</v>
      </c>
      <c r="FT122" s="4">
        <f t="shared" si="116"/>
        <v>10670.17</v>
      </c>
      <c r="FU122" s="4">
        <f t="shared" si="116"/>
        <v>0</v>
      </c>
      <c r="FV122" s="4">
        <f t="shared" si="116"/>
        <v>0</v>
      </c>
      <c r="FW122" s="4">
        <f t="shared" si="116"/>
        <v>0</v>
      </c>
      <c r="FX122" s="4">
        <f t="shared" si="116"/>
        <v>0</v>
      </c>
      <c r="FY122" s="4">
        <f t="shared" si="116"/>
        <v>0</v>
      </c>
      <c r="FZ122" s="4">
        <f t="shared" si="116"/>
        <v>0</v>
      </c>
      <c r="GA122" s="4">
        <f t="shared" si="116"/>
        <v>0</v>
      </c>
      <c r="GB122" s="4">
        <f t="shared" si="116"/>
        <v>0</v>
      </c>
      <c r="GC122" s="4">
        <f t="shared" si="116"/>
        <v>0</v>
      </c>
      <c r="GD122" s="4">
        <f t="shared" si="116"/>
        <v>0</v>
      </c>
      <c r="GE122" s="4">
        <f t="shared" si="116"/>
        <v>10670.17</v>
      </c>
      <c r="GF122" s="4">
        <f t="shared" si="116"/>
        <v>0</v>
      </c>
      <c r="GG122" s="4">
        <f t="shared" si="116"/>
        <v>0</v>
      </c>
      <c r="GH122" s="4">
        <f t="shared" si="116"/>
        <v>0</v>
      </c>
      <c r="GI122" s="4">
        <f t="shared" si="116"/>
        <v>0</v>
      </c>
      <c r="GJ122" s="4">
        <f t="shared" si="116"/>
        <v>0</v>
      </c>
      <c r="GK122" s="4">
        <f t="shared" si="116"/>
        <v>0</v>
      </c>
      <c r="GL122" s="4">
        <f t="shared" si="116"/>
        <v>0</v>
      </c>
      <c r="GM122" s="4">
        <f t="shared" si="116"/>
        <v>0</v>
      </c>
      <c r="GN122" s="4">
        <f t="shared" si="116"/>
        <v>0</v>
      </c>
      <c r="GO122" s="4">
        <f t="shared" si="116"/>
        <v>0</v>
      </c>
      <c r="GP122" s="4">
        <f t="shared" si="116"/>
        <v>0</v>
      </c>
      <c r="GQ122" s="4">
        <f t="shared" si="116"/>
        <v>0</v>
      </c>
      <c r="GR122" s="4">
        <f t="shared" si="116"/>
        <v>0</v>
      </c>
      <c r="GS122" s="4">
        <f t="shared" si="116"/>
        <v>0</v>
      </c>
      <c r="GT122" s="4">
        <f t="shared" si="116"/>
        <v>0</v>
      </c>
      <c r="GU122" s="4">
        <f t="shared" si="116"/>
        <v>0</v>
      </c>
      <c r="GV122" s="4">
        <f t="shared" si="116"/>
        <v>0</v>
      </c>
      <c r="GW122" s="4">
        <f t="shared" si="116"/>
        <v>0</v>
      </c>
      <c r="GX122" s="4">
        <f t="shared" si="116"/>
        <v>0</v>
      </c>
    </row>
    <row r="124" spans="1:255" ht="12.75">
      <c r="A124" s="2">
        <v>17</v>
      </c>
      <c r="B124" s="2">
        <v>1</v>
      </c>
      <c r="C124" s="2"/>
      <c r="D124" s="2"/>
      <c r="E124" s="2" t="s">
        <v>151</v>
      </c>
      <c r="F124" s="2" t="s">
        <v>152</v>
      </c>
      <c r="G124" s="2" t="s">
        <v>153</v>
      </c>
      <c r="H124" s="2" t="s">
        <v>154</v>
      </c>
      <c r="I124" s="2">
        <v>11.7</v>
      </c>
      <c r="J124" s="2">
        <v>0</v>
      </c>
      <c r="K124" s="2">
        <v>11.7</v>
      </c>
      <c r="L124" s="2"/>
      <c r="M124" s="2"/>
      <c r="N124" s="2"/>
      <c r="O124" s="2">
        <f>0</f>
        <v>0</v>
      </c>
      <c r="P124" s="2">
        <f>0</f>
        <v>0</v>
      </c>
      <c r="Q124" s="2">
        <f>0</f>
        <v>0</v>
      </c>
      <c r="R124" s="2">
        <f>0</f>
        <v>0</v>
      </c>
      <c r="S124" s="2">
        <f>0</f>
        <v>0</v>
      </c>
      <c r="T124" s="2">
        <f>0</f>
        <v>0</v>
      </c>
      <c r="U124" s="2">
        <f>0</f>
        <v>0</v>
      </c>
      <c r="V124" s="2">
        <f>0</f>
        <v>0</v>
      </c>
      <c r="W124" s="2">
        <f>0</f>
        <v>0</v>
      </c>
      <c r="X124" s="2">
        <f>0</f>
        <v>0</v>
      </c>
      <c r="Y124" s="2">
        <f>0</f>
        <v>0</v>
      </c>
      <c r="Z124" s="2"/>
      <c r="AA124" s="2">
        <v>55468472</v>
      </c>
      <c r="AB124" s="2">
        <f>ROUND((AK124),2)</f>
        <v>42.98</v>
      </c>
      <c r="AC124" s="2">
        <f>0</f>
        <v>0</v>
      </c>
      <c r="AD124" s="2">
        <f>0</f>
        <v>0</v>
      </c>
      <c r="AE124" s="2">
        <f>0</f>
        <v>0</v>
      </c>
      <c r="AF124" s="2">
        <f>0</f>
        <v>0</v>
      </c>
      <c r="AG124" s="2">
        <f>0</f>
        <v>0</v>
      </c>
      <c r="AH124" s="2">
        <f>0</f>
        <v>0</v>
      </c>
      <c r="AI124" s="2">
        <f>0</f>
        <v>0</v>
      </c>
      <c r="AJ124" s="2">
        <f>0</f>
        <v>0</v>
      </c>
      <c r="AK124" s="2">
        <v>42.98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3</v>
      </c>
      <c r="BE124" s="2" t="s">
        <v>3</v>
      </c>
      <c r="BF124" s="2" t="s">
        <v>3</v>
      </c>
      <c r="BG124" s="2" t="s">
        <v>3</v>
      </c>
      <c r="BH124" s="2">
        <v>0</v>
      </c>
      <c r="BI124" s="2">
        <v>1</v>
      </c>
      <c r="BJ124" s="2" t="s">
        <v>155</v>
      </c>
      <c r="BK124" s="2"/>
      <c r="BL124" s="2"/>
      <c r="BM124" s="2">
        <v>700004</v>
      </c>
      <c r="BN124" s="2">
        <v>0</v>
      </c>
      <c r="BO124" s="2" t="s">
        <v>3</v>
      </c>
      <c r="BP124" s="2">
        <v>0</v>
      </c>
      <c r="BQ124" s="2">
        <v>19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3</v>
      </c>
      <c r="BZ124" s="2">
        <v>0</v>
      </c>
      <c r="CA124" s="2">
        <v>0</v>
      </c>
      <c r="CB124" s="2" t="s">
        <v>3</v>
      </c>
      <c r="CC124" s="2"/>
      <c r="CD124" s="2"/>
      <c r="CE124" s="2">
        <v>0</v>
      </c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3</v>
      </c>
      <c r="CO124" s="2">
        <v>0</v>
      </c>
      <c r="CP124" s="2">
        <f>AB124*AZ124</f>
        <v>42.98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/>
      <c r="DB124" s="2"/>
      <c r="DC124" s="2" t="s">
        <v>3</v>
      </c>
      <c r="DD124" s="2" t="s">
        <v>3</v>
      </c>
      <c r="DE124" s="2" t="s">
        <v>3</v>
      </c>
      <c r="DF124" s="2" t="s">
        <v>3</v>
      </c>
      <c r="DG124" s="2" t="s">
        <v>3</v>
      </c>
      <c r="DH124" s="2" t="s">
        <v>3</v>
      </c>
      <c r="DI124" s="2" t="s">
        <v>3</v>
      </c>
      <c r="DJ124" s="2" t="s">
        <v>3</v>
      </c>
      <c r="DK124" s="2" t="s">
        <v>3</v>
      </c>
      <c r="DL124" s="2" t="s">
        <v>3</v>
      </c>
      <c r="DM124" s="2" t="s">
        <v>3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1013</v>
      </c>
      <c r="DV124" s="2" t="s">
        <v>154</v>
      </c>
      <c r="DW124" s="2" t="s">
        <v>154</v>
      </c>
      <c r="DX124" s="2">
        <v>1</v>
      </c>
      <c r="DY124" s="2"/>
      <c r="DZ124" s="2" t="s">
        <v>3</v>
      </c>
      <c r="EA124" s="2" t="s">
        <v>3</v>
      </c>
      <c r="EB124" s="2" t="s">
        <v>3</v>
      </c>
      <c r="EC124" s="2" t="s">
        <v>3</v>
      </c>
      <c r="ED124" s="2"/>
      <c r="EE124" s="2">
        <v>55471915</v>
      </c>
      <c r="EF124" s="2">
        <v>19</v>
      </c>
      <c r="EG124" s="2" t="s">
        <v>156</v>
      </c>
      <c r="EH124" s="2">
        <v>106</v>
      </c>
      <c r="EI124" s="2" t="s">
        <v>156</v>
      </c>
      <c r="EJ124" s="2">
        <v>1</v>
      </c>
      <c r="EK124" s="2">
        <v>700004</v>
      </c>
      <c r="EL124" s="2" t="s">
        <v>156</v>
      </c>
      <c r="EM124" s="2" t="s">
        <v>157</v>
      </c>
      <c r="EN124" s="2"/>
      <c r="EO124" s="2" t="s">
        <v>3</v>
      </c>
      <c r="EP124" s="2"/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>
        <v>0</v>
      </c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>ROUND(IF(AND(BH124=3,BI124=3),P124,0),2)</f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3</v>
      </c>
      <c r="GB124" s="2"/>
      <c r="GC124" s="2"/>
      <c r="GD124" s="2">
        <v>1</v>
      </c>
      <c r="GE124" s="2"/>
      <c r="GF124" s="2">
        <v>-441336689</v>
      </c>
      <c r="GG124" s="2">
        <v>2</v>
      </c>
      <c r="GH124" s="2">
        <v>1</v>
      </c>
      <c r="GI124" s="2">
        <v>-2</v>
      </c>
      <c r="GJ124" s="2">
        <v>2</v>
      </c>
      <c r="GK124" s="2">
        <v>0</v>
      </c>
      <c r="GL124" s="2">
        <f>ROUND(IF(AND(BH124=3,BI124=3,FS124&lt;&gt;0),P124,0),2)</f>
        <v>0</v>
      </c>
      <c r="GM124" s="2">
        <f>ROUND(CP124*I124,2)</f>
        <v>502.87</v>
      </c>
      <c r="GN124" s="2">
        <f>IF(OR(BI124=0,BI124=1),ROUND(CP124*I124,2),0)</f>
        <v>502.87</v>
      </c>
      <c r="GO124" s="2">
        <f>IF(BI124=2,ROUND(CP124*I124,2),0)</f>
        <v>0</v>
      </c>
      <c r="GP124" s="2">
        <f>IF(BI124=4,ROUND(CP124*I124,2)+GX124,0)</f>
        <v>0</v>
      </c>
      <c r="GQ124" s="2"/>
      <c r="GR124" s="2">
        <v>0</v>
      </c>
      <c r="GS124" s="2">
        <v>3</v>
      </c>
      <c r="GT124" s="2">
        <v>0</v>
      </c>
      <c r="GU124" s="2" t="s">
        <v>3</v>
      </c>
      <c r="GV124" s="2">
        <f>0</f>
        <v>0</v>
      </c>
      <c r="GW124" s="2">
        <v>1</v>
      </c>
      <c r="GX124" s="2">
        <f>0</f>
        <v>0</v>
      </c>
      <c r="GY124" s="2"/>
      <c r="GZ124" s="2"/>
      <c r="HA124" s="2">
        <v>0</v>
      </c>
      <c r="HB124" s="2">
        <v>0</v>
      </c>
      <c r="HC124" s="2">
        <v>0</v>
      </c>
      <c r="HD124" s="2">
        <f>GM124</f>
        <v>502.87</v>
      </c>
      <c r="HE124" s="2" t="s">
        <v>3</v>
      </c>
      <c r="HF124" s="2" t="s">
        <v>3</v>
      </c>
      <c r="HG124" s="2"/>
      <c r="HH124" s="2"/>
      <c r="HI124" s="2"/>
      <c r="HJ124" s="2"/>
      <c r="HK124" s="2"/>
      <c r="HL124" s="2"/>
      <c r="HM124" s="2" t="s">
        <v>3</v>
      </c>
      <c r="HN124" s="2" t="s">
        <v>3</v>
      </c>
      <c r="HO124" s="2" t="s">
        <v>3</v>
      </c>
      <c r="HP124" s="2" t="s">
        <v>3</v>
      </c>
      <c r="HQ124" s="2" t="s">
        <v>3</v>
      </c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45" ht="12.75">
      <c r="A125">
        <v>17</v>
      </c>
      <c r="B125">
        <v>1</v>
      </c>
      <c r="E125" t="s">
        <v>151</v>
      </c>
      <c r="F125" t="s">
        <v>152</v>
      </c>
      <c r="G125" t="s">
        <v>153</v>
      </c>
      <c r="H125" t="s">
        <v>154</v>
      </c>
      <c r="I125">
        <v>11.7</v>
      </c>
      <c r="J125">
        <v>0</v>
      </c>
      <c r="K125">
        <v>11.7</v>
      </c>
      <c r="O125">
        <f>0</f>
        <v>0</v>
      </c>
      <c r="P125">
        <f>0</f>
        <v>0</v>
      </c>
      <c r="Q125">
        <f>0</f>
        <v>0</v>
      </c>
      <c r="R125">
        <f>0</f>
        <v>0</v>
      </c>
      <c r="S125">
        <f>0</f>
        <v>0</v>
      </c>
      <c r="T125">
        <f>0</f>
        <v>0</v>
      </c>
      <c r="U125">
        <f>0</f>
        <v>0</v>
      </c>
      <c r="V125">
        <f>0</f>
        <v>0</v>
      </c>
      <c r="W125">
        <f>0</f>
        <v>0</v>
      </c>
      <c r="X125">
        <f>0</f>
        <v>0</v>
      </c>
      <c r="Y125">
        <f>0</f>
        <v>0</v>
      </c>
      <c r="AA125">
        <v>55468473</v>
      </c>
      <c r="AB125">
        <f>ROUND((AK125),2)</f>
        <v>42.98</v>
      </c>
      <c r="AC125">
        <f>0</f>
        <v>0</v>
      </c>
      <c r="AD125">
        <f>0</f>
        <v>0</v>
      </c>
      <c r="AE125">
        <f>0</f>
        <v>0</v>
      </c>
      <c r="AF125">
        <f>0</f>
        <v>0</v>
      </c>
      <c r="AG125">
        <f>0</f>
        <v>0</v>
      </c>
      <c r="AH125">
        <f>0</f>
        <v>0</v>
      </c>
      <c r="AI125">
        <f>0</f>
        <v>0</v>
      </c>
      <c r="AJ125">
        <f>0</f>
        <v>0</v>
      </c>
      <c r="AK125">
        <v>42.98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13.09</v>
      </c>
      <c r="BA125">
        <v>1</v>
      </c>
      <c r="BB125">
        <v>1</v>
      </c>
      <c r="BC125">
        <v>1</v>
      </c>
      <c r="BH125">
        <v>0</v>
      </c>
      <c r="BI125">
        <v>1</v>
      </c>
      <c r="BJ125" t="s">
        <v>155</v>
      </c>
      <c r="BM125">
        <v>700004</v>
      </c>
      <c r="BN125">
        <v>0</v>
      </c>
      <c r="BO125" t="s">
        <v>37</v>
      </c>
      <c r="BP125">
        <v>1</v>
      </c>
      <c r="BQ125">
        <v>19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Z125">
        <v>0</v>
      </c>
      <c r="CA125">
        <v>0</v>
      </c>
      <c r="CE125">
        <v>0</v>
      </c>
      <c r="CF125">
        <v>0</v>
      </c>
      <c r="CG125">
        <v>0</v>
      </c>
      <c r="CM125">
        <v>0</v>
      </c>
      <c r="CO125">
        <v>0</v>
      </c>
      <c r="CP125">
        <f>AB125*AZ125</f>
        <v>562.6081999999999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154</v>
      </c>
      <c r="DW125" t="s">
        <v>154</v>
      </c>
      <c r="DX125">
        <v>1</v>
      </c>
      <c r="EE125">
        <v>55471915</v>
      </c>
      <c r="EF125">
        <v>19</v>
      </c>
      <c r="EG125" t="s">
        <v>156</v>
      </c>
      <c r="EH125">
        <v>106</v>
      </c>
      <c r="EI125" t="s">
        <v>156</v>
      </c>
      <c r="EJ125">
        <v>1</v>
      </c>
      <c r="EK125">
        <v>700004</v>
      </c>
      <c r="EL125" t="s">
        <v>156</v>
      </c>
      <c r="EM125" t="s">
        <v>157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FQ125">
        <v>0</v>
      </c>
      <c r="FR125">
        <f>ROUND(IF(AND(BH125=3,BI125=3),P125,0),2)</f>
        <v>0</v>
      </c>
      <c r="FS125">
        <v>0</v>
      </c>
      <c r="FX125">
        <v>0</v>
      </c>
      <c r="FY125">
        <v>0</v>
      </c>
      <c r="GD125">
        <v>1</v>
      </c>
      <c r="GF125">
        <v>-441336689</v>
      </c>
      <c r="GG125">
        <v>2</v>
      </c>
      <c r="GH125">
        <v>1</v>
      </c>
      <c r="GI125">
        <v>4</v>
      </c>
      <c r="GJ125">
        <v>2</v>
      </c>
      <c r="GK125">
        <v>0</v>
      </c>
      <c r="GL125">
        <f>ROUND(IF(AND(BH125=3,BI125=3,FS125&lt;&gt;0),P125,0),2)</f>
        <v>0</v>
      </c>
      <c r="GM125">
        <f>ROUND(CP125*I125,2)</f>
        <v>6582.52</v>
      </c>
      <c r="GN125">
        <f>IF(OR(BI125=0,BI125=1),ROUND(CP125*I125,2),0)</f>
        <v>6582.52</v>
      </c>
      <c r="GO125">
        <f>IF(BI125=2,ROUND(CP125*I125,2),0)</f>
        <v>0</v>
      </c>
      <c r="GP125">
        <f>IF(BI125=4,ROUND(CP125*I125,2)+GX125,0)</f>
        <v>0</v>
      </c>
      <c r="GR125">
        <v>0</v>
      </c>
      <c r="GS125">
        <v>0</v>
      </c>
      <c r="GT125">
        <v>0</v>
      </c>
      <c r="GV125">
        <f>0</f>
        <v>0</v>
      </c>
      <c r="GW125">
        <v>1</v>
      </c>
      <c r="GX125">
        <f>0</f>
        <v>0</v>
      </c>
      <c r="HA125">
        <v>0</v>
      </c>
      <c r="HB125">
        <v>0</v>
      </c>
      <c r="HC125">
        <v>0</v>
      </c>
      <c r="HD125">
        <f>GM125</f>
        <v>6582.52</v>
      </c>
      <c r="IK125">
        <v>0</v>
      </c>
    </row>
    <row r="126" spans="1:255" ht="12.75">
      <c r="A126" s="2">
        <v>17</v>
      </c>
      <c r="B126" s="2">
        <v>1</v>
      </c>
      <c r="C126" s="2"/>
      <c r="D126" s="2"/>
      <c r="E126" s="2" t="s">
        <v>158</v>
      </c>
      <c r="F126" s="2" t="s">
        <v>159</v>
      </c>
      <c r="G126" s="2" t="s">
        <v>160</v>
      </c>
      <c r="H126" s="2" t="s">
        <v>154</v>
      </c>
      <c r="I126" s="2">
        <v>11.7</v>
      </c>
      <c r="J126" s="2">
        <v>0</v>
      </c>
      <c r="K126" s="2">
        <v>11.7</v>
      </c>
      <c r="L126" s="2"/>
      <c r="M126" s="2"/>
      <c r="N126" s="2"/>
      <c r="O126" s="2">
        <f>0</f>
        <v>0</v>
      </c>
      <c r="P126" s="2">
        <f>0</f>
        <v>0</v>
      </c>
      <c r="Q126" s="2">
        <f>0</f>
        <v>0</v>
      </c>
      <c r="R126" s="2">
        <f>0</f>
        <v>0</v>
      </c>
      <c r="S126" s="2">
        <f>0</f>
        <v>0</v>
      </c>
      <c r="T126" s="2">
        <f>0</f>
        <v>0</v>
      </c>
      <c r="U126" s="2">
        <f>0</f>
        <v>0</v>
      </c>
      <c r="V126" s="2">
        <f>0</f>
        <v>0</v>
      </c>
      <c r="W126" s="2">
        <f>0</f>
        <v>0</v>
      </c>
      <c r="X126" s="2">
        <f>0</f>
        <v>0</v>
      </c>
      <c r="Y126" s="2">
        <f>0</f>
        <v>0</v>
      </c>
      <c r="Z126" s="2"/>
      <c r="AA126" s="2">
        <v>55468472</v>
      </c>
      <c r="AB126" s="2">
        <f>ROUND((AK126),2)</f>
        <v>26.69</v>
      </c>
      <c r="AC126" s="2">
        <f>0</f>
        <v>0</v>
      </c>
      <c r="AD126" s="2">
        <f>0</f>
        <v>0</v>
      </c>
      <c r="AE126" s="2">
        <f>0</f>
        <v>0</v>
      </c>
      <c r="AF126" s="2">
        <f>0</f>
        <v>0</v>
      </c>
      <c r="AG126" s="2">
        <f>0</f>
        <v>0</v>
      </c>
      <c r="AH126" s="2">
        <f>0</f>
        <v>0</v>
      </c>
      <c r="AI126" s="2">
        <f>0</f>
        <v>0</v>
      </c>
      <c r="AJ126" s="2">
        <f>0</f>
        <v>0</v>
      </c>
      <c r="AK126" s="2">
        <v>26.69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3</v>
      </c>
      <c r="BE126" s="2" t="s">
        <v>3</v>
      </c>
      <c r="BF126" s="2" t="s">
        <v>3</v>
      </c>
      <c r="BG126" s="2" t="s">
        <v>3</v>
      </c>
      <c r="BH126" s="2">
        <v>0</v>
      </c>
      <c r="BI126" s="2">
        <v>1</v>
      </c>
      <c r="BJ126" s="2" t="s">
        <v>161</v>
      </c>
      <c r="BK126" s="2"/>
      <c r="BL126" s="2"/>
      <c r="BM126" s="2">
        <v>700005</v>
      </c>
      <c r="BN126" s="2">
        <v>0</v>
      </c>
      <c r="BO126" s="2" t="s">
        <v>3</v>
      </c>
      <c r="BP126" s="2">
        <v>0</v>
      </c>
      <c r="BQ126" s="2">
        <v>10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3</v>
      </c>
      <c r="BZ126" s="2">
        <v>0</v>
      </c>
      <c r="CA126" s="2">
        <v>0</v>
      </c>
      <c r="CB126" s="2" t="s">
        <v>3</v>
      </c>
      <c r="CC126" s="2"/>
      <c r="CD126" s="2"/>
      <c r="CE126" s="2">
        <v>0</v>
      </c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3</v>
      </c>
      <c r="CO126" s="2">
        <v>0</v>
      </c>
      <c r="CP126" s="2">
        <f>AB126*AZ126</f>
        <v>26.69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/>
      <c r="DB126" s="2"/>
      <c r="DC126" s="2" t="s">
        <v>3</v>
      </c>
      <c r="DD126" s="2" t="s">
        <v>3</v>
      </c>
      <c r="DE126" s="2" t="s">
        <v>3</v>
      </c>
      <c r="DF126" s="2" t="s">
        <v>3</v>
      </c>
      <c r="DG126" s="2" t="s">
        <v>3</v>
      </c>
      <c r="DH126" s="2" t="s">
        <v>3</v>
      </c>
      <c r="DI126" s="2" t="s">
        <v>3</v>
      </c>
      <c r="DJ126" s="2" t="s">
        <v>3</v>
      </c>
      <c r="DK126" s="2" t="s">
        <v>3</v>
      </c>
      <c r="DL126" s="2" t="s">
        <v>3</v>
      </c>
      <c r="DM126" s="2" t="s">
        <v>3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1013</v>
      </c>
      <c r="DV126" s="2" t="s">
        <v>154</v>
      </c>
      <c r="DW126" s="2" t="s">
        <v>154</v>
      </c>
      <c r="DX126" s="2">
        <v>1</v>
      </c>
      <c r="DY126" s="2"/>
      <c r="DZ126" s="2" t="s">
        <v>3</v>
      </c>
      <c r="EA126" s="2" t="s">
        <v>3</v>
      </c>
      <c r="EB126" s="2" t="s">
        <v>3</v>
      </c>
      <c r="EC126" s="2" t="s">
        <v>3</v>
      </c>
      <c r="ED126" s="2"/>
      <c r="EE126" s="2">
        <v>55471919</v>
      </c>
      <c r="EF126" s="2">
        <v>10</v>
      </c>
      <c r="EG126" s="2" t="s">
        <v>162</v>
      </c>
      <c r="EH126" s="2">
        <v>107</v>
      </c>
      <c r="EI126" s="2" t="s">
        <v>163</v>
      </c>
      <c r="EJ126" s="2">
        <v>1</v>
      </c>
      <c r="EK126" s="2">
        <v>700005</v>
      </c>
      <c r="EL126" s="2" t="s">
        <v>163</v>
      </c>
      <c r="EM126" s="2" t="s">
        <v>164</v>
      </c>
      <c r="EN126" s="2"/>
      <c r="EO126" s="2" t="s">
        <v>3</v>
      </c>
      <c r="EP126" s="2"/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>
        <v>0</v>
      </c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>ROUND(IF(AND(BH126=3,BI126=3),P126,0),2)</f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3</v>
      </c>
      <c r="GB126" s="2"/>
      <c r="GC126" s="2"/>
      <c r="GD126" s="2">
        <v>1</v>
      </c>
      <c r="GE126" s="2"/>
      <c r="GF126" s="2">
        <v>627129972</v>
      </c>
      <c r="GG126" s="2">
        <v>2</v>
      </c>
      <c r="GH126" s="2">
        <v>1</v>
      </c>
      <c r="GI126" s="2">
        <v>-2</v>
      </c>
      <c r="GJ126" s="2">
        <v>2</v>
      </c>
      <c r="GK126" s="2">
        <v>0</v>
      </c>
      <c r="GL126" s="2">
        <f>ROUND(IF(AND(BH126=3,BI126=3,FS126&lt;&gt;0),P126,0),2)</f>
        <v>0</v>
      </c>
      <c r="GM126" s="2">
        <f>ROUND(CP126*I126,2)</f>
        <v>312.27</v>
      </c>
      <c r="GN126" s="2">
        <f>IF(OR(BI126=0,BI126=1),ROUND(CP126*I126,2),0)</f>
        <v>312.27</v>
      </c>
      <c r="GO126" s="2">
        <f>IF(BI126=2,ROUND(CP126*I126,2),0)</f>
        <v>0</v>
      </c>
      <c r="GP126" s="2">
        <f>IF(BI126=4,ROUND(CP126*I126,2)+GX126,0)</f>
        <v>0</v>
      </c>
      <c r="GQ126" s="2"/>
      <c r="GR126" s="2">
        <v>0</v>
      </c>
      <c r="GS126" s="2">
        <v>3</v>
      </c>
      <c r="GT126" s="2">
        <v>0</v>
      </c>
      <c r="GU126" s="2" t="s">
        <v>3</v>
      </c>
      <c r="GV126" s="2">
        <f>0</f>
        <v>0</v>
      </c>
      <c r="GW126" s="2">
        <v>1</v>
      </c>
      <c r="GX126" s="2">
        <f>0</f>
        <v>0</v>
      </c>
      <c r="GY126" s="2"/>
      <c r="GZ126" s="2"/>
      <c r="HA126" s="2">
        <v>0</v>
      </c>
      <c r="HB126" s="2">
        <v>0</v>
      </c>
      <c r="HC126" s="2">
        <v>0</v>
      </c>
      <c r="HD126" s="2">
        <f>GM126</f>
        <v>312.27</v>
      </c>
      <c r="HE126" s="2" t="s">
        <v>3</v>
      </c>
      <c r="HF126" s="2" t="s">
        <v>3</v>
      </c>
      <c r="HG126" s="2"/>
      <c r="HH126" s="2"/>
      <c r="HI126" s="2"/>
      <c r="HJ126" s="2"/>
      <c r="HK126" s="2"/>
      <c r="HL126" s="2"/>
      <c r="HM126" s="2" t="s">
        <v>3</v>
      </c>
      <c r="HN126" s="2" t="s">
        <v>3</v>
      </c>
      <c r="HO126" s="2" t="s">
        <v>3</v>
      </c>
      <c r="HP126" s="2" t="s">
        <v>3</v>
      </c>
      <c r="HQ126" s="2" t="s">
        <v>3</v>
      </c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45" ht="12.75">
      <c r="A127">
        <v>17</v>
      </c>
      <c r="B127">
        <v>1</v>
      </c>
      <c r="E127" t="s">
        <v>158</v>
      </c>
      <c r="F127" t="s">
        <v>159</v>
      </c>
      <c r="G127" t="s">
        <v>160</v>
      </c>
      <c r="H127" t="s">
        <v>154</v>
      </c>
      <c r="I127">
        <v>11.7</v>
      </c>
      <c r="J127">
        <v>0</v>
      </c>
      <c r="K127">
        <v>11.7</v>
      </c>
      <c r="O127">
        <f>0</f>
        <v>0</v>
      </c>
      <c r="P127">
        <f>0</f>
        <v>0</v>
      </c>
      <c r="Q127">
        <f>0</f>
        <v>0</v>
      </c>
      <c r="R127">
        <f>0</f>
        <v>0</v>
      </c>
      <c r="S127">
        <f>0</f>
        <v>0</v>
      </c>
      <c r="T127">
        <f>0</f>
        <v>0</v>
      </c>
      <c r="U127">
        <f>0</f>
        <v>0</v>
      </c>
      <c r="V127">
        <f>0</f>
        <v>0</v>
      </c>
      <c r="W127">
        <f>0</f>
        <v>0</v>
      </c>
      <c r="X127">
        <f>0</f>
        <v>0</v>
      </c>
      <c r="Y127">
        <f>0</f>
        <v>0</v>
      </c>
      <c r="AA127">
        <v>55468473</v>
      </c>
      <c r="AB127">
        <f>ROUND((AK127),2)</f>
        <v>26.69</v>
      </c>
      <c r="AC127">
        <f>0</f>
        <v>0</v>
      </c>
      <c r="AD127">
        <f>0</f>
        <v>0</v>
      </c>
      <c r="AE127">
        <f>0</f>
        <v>0</v>
      </c>
      <c r="AF127">
        <f>0</f>
        <v>0</v>
      </c>
      <c r="AG127">
        <f>0</f>
        <v>0</v>
      </c>
      <c r="AH127">
        <f>0</f>
        <v>0</v>
      </c>
      <c r="AI127">
        <f>0</f>
        <v>0</v>
      </c>
      <c r="AJ127">
        <f>0</f>
        <v>0</v>
      </c>
      <c r="AK127">
        <v>26.69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13.09</v>
      </c>
      <c r="BA127">
        <v>1</v>
      </c>
      <c r="BB127">
        <v>1</v>
      </c>
      <c r="BC127">
        <v>1</v>
      </c>
      <c r="BH127">
        <v>0</v>
      </c>
      <c r="BI127">
        <v>1</v>
      </c>
      <c r="BJ127" t="s">
        <v>161</v>
      </c>
      <c r="BM127">
        <v>700005</v>
      </c>
      <c r="BN127">
        <v>0</v>
      </c>
      <c r="BO127" t="s">
        <v>37</v>
      </c>
      <c r="BP127">
        <v>1</v>
      </c>
      <c r="BQ127">
        <v>10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Z127">
        <v>0</v>
      </c>
      <c r="CA127">
        <v>0</v>
      </c>
      <c r="CE127">
        <v>0</v>
      </c>
      <c r="CF127">
        <v>0</v>
      </c>
      <c r="CG127">
        <v>0</v>
      </c>
      <c r="CM127">
        <v>0</v>
      </c>
      <c r="CO127">
        <v>0</v>
      </c>
      <c r="CP127">
        <f>AB127*AZ127</f>
        <v>349.3721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154</v>
      </c>
      <c r="DW127" t="s">
        <v>154</v>
      </c>
      <c r="DX127">
        <v>1</v>
      </c>
      <c r="EE127">
        <v>55471919</v>
      </c>
      <c r="EF127">
        <v>10</v>
      </c>
      <c r="EG127" t="s">
        <v>162</v>
      </c>
      <c r="EH127">
        <v>107</v>
      </c>
      <c r="EI127" t="s">
        <v>163</v>
      </c>
      <c r="EJ127">
        <v>1</v>
      </c>
      <c r="EK127">
        <v>700005</v>
      </c>
      <c r="EL127" t="s">
        <v>163</v>
      </c>
      <c r="EM127" t="s">
        <v>164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FQ127">
        <v>0</v>
      </c>
      <c r="FR127">
        <f>ROUND(IF(AND(BH127=3,BI127=3),P127,0),2)</f>
        <v>0</v>
      </c>
      <c r="FS127">
        <v>0</v>
      </c>
      <c r="FX127">
        <v>0</v>
      </c>
      <c r="FY127">
        <v>0</v>
      </c>
      <c r="GD127">
        <v>1</v>
      </c>
      <c r="GF127">
        <v>627129972</v>
      </c>
      <c r="GG127">
        <v>2</v>
      </c>
      <c r="GH127">
        <v>1</v>
      </c>
      <c r="GI127">
        <v>4</v>
      </c>
      <c r="GJ127">
        <v>2</v>
      </c>
      <c r="GK127">
        <v>0</v>
      </c>
      <c r="GL127">
        <f>ROUND(IF(AND(BH127=3,BI127=3,FS127&lt;&gt;0),P127,0),2)</f>
        <v>0</v>
      </c>
      <c r="GM127">
        <f>ROUND(CP127*I127,2)</f>
        <v>4087.65</v>
      </c>
      <c r="GN127">
        <f>IF(OR(BI127=0,BI127=1),ROUND(CP127*I127,2),0)</f>
        <v>4087.65</v>
      </c>
      <c r="GO127">
        <f>IF(BI127=2,ROUND(CP127*I127,2),0)</f>
        <v>0</v>
      </c>
      <c r="GP127">
        <f>IF(BI127=4,ROUND(CP127*I127,2)+GX127,0)</f>
        <v>0</v>
      </c>
      <c r="GR127">
        <v>0</v>
      </c>
      <c r="GS127">
        <v>0</v>
      </c>
      <c r="GT127">
        <v>0</v>
      </c>
      <c r="GV127">
        <f>0</f>
        <v>0</v>
      </c>
      <c r="GW127">
        <v>1</v>
      </c>
      <c r="GX127">
        <f>0</f>
        <v>0</v>
      </c>
      <c r="HA127">
        <v>0</v>
      </c>
      <c r="HB127">
        <v>0</v>
      </c>
      <c r="HC127">
        <v>0</v>
      </c>
      <c r="HD127">
        <f>GM127</f>
        <v>4087.65</v>
      </c>
      <c r="IK127">
        <v>0</v>
      </c>
    </row>
    <row r="129" spans="1:206" ht="12.75">
      <c r="A129" s="3">
        <v>51</v>
      </c>
      <c r="B129" s="3">
        <f>B120</f>
        <v>1</v>
      </c>
      <c r="C129" s="3">
        <f>A120</f>
        <v>4</v>
      </c>
      <c r="D129" s="3">
        <f>ROW(A120)</f>
        <v>120</v>
      </c>
      <c r="E129" s="3"/>
      <c r="F129" s="3" t="str">
        <f>IF(F120&lt;&gt;"",F120,"")</f>
        <v>Новый раздел</v>
      </c>
      <c r="G129" s="3" t="str">
        <f>IF(G120&lt;&gt;"",G120,"")</f>
        <v>Разные работы</v>
      </c>
      <c r="H129" s="3">
        <v>0</v>
      </c>
      <c r="I129" s="3"/>
      <c r="J129" s="3"/>
      <c r="K129" s="3"/>
      <c r="L129" s="3"/>
      <c r="M129" s="3"/>
      <c r="N129" s="3"/>
      <c r="O129" s="3">
        <f aca="true" t="shared" si="117" ref="O129:T129">ROUND(AB129,2)</f>
        <v>0</v>
      </c>
      <c r="P129" s="3">
        <f t="shared" si="117"/>
        <v>0</v>
      </c>
      <c r="Q129" s="3">
        <f t="shared" si="117"/>
        <v>0</v>
      </c>
      <c r="R129" s="3">
        <f t="shared" si="117"/>
        <v>0</v>
      </c>
      <c r="S129" s="3">
        <f t="shared" si="117"/>
        <v>0</v>
      </c>
      <c r="T129" s="3">
        <f t="shared" si="117"/>
        <v>0</v>
      </c>
      <c r="U129" s="3">
        <f>AH129</f>
        <v>0</v>
      </c>
      <c r="V129" s="3">
        <f>AI129</f>
        <v>0</v>
      </c>
      <c r="W129" s="3">
        <f>ROUND(AJ129,2)</f>
        <v>0</v>
      </c>
      <c r="X129" s="3">
        <f>ROUND(AK129,2)</f>
        <v>0</v>
      </c>
      <c r="Y129" s="3">
        <f>ROUND(AL129,2)</f>
        <v>0</v>
      </c>
      <c r="Z129" s="3"/>
      <c r="AA129" s="3"/>
      <c r="AB129" s="3">
        <f>ROUND(SUMIF(AA124:AA127,"=55468472",O124:O127),2)</f>
        <v>0</v>
      </c>
      <c r="AC129" s="3">
        <f>ROUND(SUMIF(AA124:AA127,"=55468472",P124:P127),2)</f>
        <v>0</v>
      </c>
      <c r="AD129" s="3">
        <f>ROUND(SUMIF(AA124:AA127,"=55468472",Q124:Q127),2)</f>
        <v>0</v>
      </c>
      <c r="AE129" s="3">
        <f>ROUND(SUMIF(AA124:AA127,"=55468472",R124:R127),2)</f>
        <v>0</v>
      </c>
      <c r="AF129" s="3">
        <f>ROUND(SUMIF(AA124:AA127,"=55468472",S124:S127),2)</f>
        <v>0</v>
      </c>
      <c r="AG129" s="3">
        <f>ROUND(SUMIF(AA124:AA127,"=55468472",T124:T127),2)</f>
        <v>0</v>
      </c>
      <c r="AH129" s="3">
        <f>SUMIF(AA124:AA127,"=55468472",U124:U127)</f>
        <v>0</v>
      </c>
      <c r="AI129" s="3">
        <f>SUMIF(AA124:AA127,"=55468472",V124:V127)</f>
        <v>0</v>
      </c>
      <c r="AJ129" s="3">
        <f>ROUND(SUMIF(AA124:AA127,"=55468472",W124:W127),2)</f>
        <v>0</v>
      </c>
      <c r="AK129" s="3">
        <f>ROUND(SUMIF(AA124:AA127,"=55468472",X124:X127),2)</f>
        <v>0</v>
      </c>
      <c r="AL129" s="3">
        <f>ROUND(SUMIF(AA124:AA127,"=55468472",Y124:Y127),2)</f>
        <v>0</v>
      </c>
      <c r="AM129" s="3"/>
      <c r="AN129" s="3"/>
      <c r="AO129" s="3">
        <f aca="true" t="shared" si="118" ref="AO129:BD129">ROUND(BX129,2)</f>
        <v>0</v>
      </c>
      <c r="AP129" s="3">
        <f t="shared" si="118"/>
        <v>0</v>
      </c>
      <c r="AQ129" s="3">
        <f t="shared" si="118"/>
        <v>0</v>
      </c>
      <c r="AR129" s="3">
        <f t="shared" si="118"/>
        <v>815.14</v>
      </c>
      <c r="AS129" s="3">
        <f t="shared" si="118"/>
        <v>815.14</v>
      </c>
      <c r="AT129" s="3">
        <f t="shared" si="118"/>
        <v>0</v>
      </c>
      <c r="AU129" s="3">
        <f t="shared" si="118"/>
        <v>0</v>
      </c>
      <c r="AV129" s="3">
        <f t="shared" si="118"/>
        <v>0</v>
      </c>
      <c r="AW129" s="3">
        <f t="shared" si="118"/>
        <v>0</v>
      </c>
      <c r="AX129" s="3">
        <f t="shared" si="118"/>
        <v>0</v>
      </c>
      <c r="AY129" s="3">
        <f t="shared" si="118"/>
        <v>0</v>
      </c>
      <c r="AZ129" s="3">
        <f t="shared" si="118"/>
        <v>0</v>
      </c>
      <c r="BA129" s="3">
        <f t="shared" si="118"/>
        <v>0</v>
      </c>
      <c r="BB129" s="3">
        <f t="shared" si="118"/>
        <v>0</v>
      </c>
      <c r="BC129" s="3">
        <f t="shared" si="118"/>
        <v>0</v>
      </c>
      <c r="BD129" s="3">
        <f t="shared" si="118"/>
        <v>815.14</v>
      </c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>
        <f>ROUND(SUMIF(AA124:AA127,"=55468472",FQ124:FQ127),2)</f>
        <v>0</v>
      </c>
      <c r="BY129" s="3">
        <f>ROUND(SUMIF(AA124:AA127,"=55468472",FR124:FR127),2)</f>
        <v>0</v>
      </c>
      <c r="BZ129" s="3">
        <f>ROUND(SUMIF(AA124:AA127,"=55468472",GL124:GL127),2)</f>
        <v>0</v>
      </c>
      <c r="CA129" s="3">
        <f>ROUND(SUMIF(AA124:AA127,"=55468472",GM124:GM127),2)</f>
        <v>815.14</v>
      </c>
      <c r="CB129" s="3">
        <f>ROUND(SUMIF(AA124:AA127,"=55468472",GN124:GN127),2)</f>
        <v>815.14</v>
      </c>
      <c r="CC129" s="3">
        <f>ROUND(SUMIF(AA124:AA127,"=55468472",GO124:GO127),2)</f>
        <v>0</v>
      </c>
      <c r="CD129" s="3">
        <f>ROUND(SUMIF(AA124:AA127,"=55468472",GP124:GP127),2)</f>
        <v>0</v>
      </c>
      <c r="CE129" s="3">
        <f>AC129-BX129</f>
        <v>0</v>
      </c>
      <c r="CF129" s="3">
        <f>AC129-BY129</f>
        <v>0</v>
      </c>
      <c r="CG129" s="3">
        <f>BX129-BZ129</f>
        <v>0</v>
      </c>
      <c r="CH129" s="3">
        <f>AC129-BX129-BY129+BZ129</f>
        <v>0</v>
      </c>
      <c r="CI129" s="3">
        <f>BY129-BZ129</f>
        <v>0</v>
      </c>
      <c r="CJ129" s="3">
        <f>ROUND(SUMIF(AA124:AA127,"=55468472",GX124:GX127),2)</f>
        <v>0</v>
      </c>
      <c r="CK129" s="3">
        <f>ROUND(SUMIF(AA124:AA127,"=55468472",GY124:GY127),2)</f>
        <v>0</v>
      </c>
      <c r="CL129" s="3">
        <f>ROUND(SUMIF(AA124:AA127,"=55468472",GZ124:GZ127),2)</f>
        <v>0</v>
      </c>
      <c r="CM129" s="3">
        <f>ROUND(SUMIF(AA124:AA127,"=55468472",HD124:HD127),2)</f>
        <v>815.14</v>
      </c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4">
        <f aca="true" t="shared" si="119" ref="DG129:DL129">ROUND(DT129,2)</f>
        <v>0</v>
      </c>
      <c r="DH129" s="4">
        <f t="shared" si="119"/>
        <v>0</v>
      </c>
      <c r="DI129" s="4">
        <f t="shared" si="119"/>
        <v>0</v>
      </c>
      <c r="DJ129" s="4">
        <f t="shared" si="119"/>
        <v>0</v>
      </c>
      <c r="DK129" s="4">
        <f t="shared" si="119"/>
        <v>0</v>
      </c>
      <c r="DL129" s="4">
        <f t="shared" si="119"/>
        <v>0</v>
      </c>
      <c r="DM129" s="4">
        <f>DZ129</f>
        <v>0</v>
      </c>
      <c r="DN129" s="4">
        <f>EA129</f>
        <v>0</v>
      </c>
      <c r="DO129" s="4">
        <f>ROUND(EB129,2)</f>
        <v>0</v>
      </c>
      <c r="DP129" s="4">
        <f>ROUND(EC129,2)</f>
        <v>0</v>
      </c>
      <c r="DQ129" s="4">
        <f>ROUND(ED129,2)</f>
        <v>0</v>
      </c>
      <c r="DR129" s="4"/>
      <c r="DS129" s="4"/>
      <c r="DT129" s="4">
        <f>ROUND(SUMIF(AA124:AA127,"=55468473",O124:O127),2)</f>
        <v>0</v>
      </c>
      <c r="DU129" s="4">
        <f>ROUND(SUMIF(AA124:AA127,"=55468473",P124:P127),2)</f>
        <v>0</v>
      </c>
      <c r="DV129" s="4">
        <f>ROUND(SUMIF(AA124:AA127,"=55468473",Q124:Q127),2)</f>
        <v>0</v>
      </c>
      <c r="DW129" s="4">
        <f>ROUND(SUMIF(AA124:AA127,"=55468473",R124:R127),2)</f>
        <v>0</v>
      </c>
      <c r="DX129" s="4">
        <f>ROUND(SUMIF(AA124:AA127,"=55468473",S124:S127),2)</f>
        <v>0</v>
      </c>
      <c r="DY129" s="4">
        <f>ROUND(SUMIF(AA124:AA127,"=55468473",T124:T127),2)</f>
        <v>0</v>
      </c>
      <c r="DZ129" s="4">
        <f>SUMIF(AA124:AA127,"=55468473",U124:U127)</f>
        <v>0</v>
      </c>
      <c r="EA129" s="4">
        <f>SUMIF(AA124:AA127,"=55468473",V124:V127)</f>
        <v>0</v>
      </c>
      <c r="EB129" s="4">
        <f>ROUND(SUMIF(AA124:AA127,"=55468473",W124:W127),2)</f>
        <v>0</v>
      </c>
      <c r="EC129" s="4">
        <f>ROUND(SUMIF(AA124:AA127,"=55468473",X124:X127),2)</f>
        <v>0</v>
      </c>
      <c r="ED129" s="4">
        <f>ROUND(SUMIF(AA124:AA127,"=55468473",Y124:Y127),2)</f>
        <v>0</v>
      </c>
      <c r="EE129" s="4"/>
      <c r="EF129" s="4"/>
      <c r="EG129" s="4">
        <f aca="true" t="shared" si="120" ref="EG129:EV129">ROUND(FP129,2)</f>
        <v>0</v>
      </c>
      <c r="EH129" s="4">
        <f t="shared" si="120"/>
        <v>0</v>
      </c>
      <c r="EI129" s="4">
        <f t="shared" si="120"/>
        <v>0</v>
      </c>
      <c r="EJ129" s="4">
        <f t="shared" si="120"/>
        <v>10670.17</v>
      </c>
      <c r="EK129" s="4">
        <f t="shared" si="120"/>
        <v>10670.17</v>
      </c>
      <c r="EL129" s="4">
        <f t="shared" si="120"/>
        <v>0</v>
      </c>
      <c r="EM129" s="4">
        <f t="shared" si="120"/>
        <v>0</v>
      </c>
      <c r="EN129" s="4">
        <f t="shared" si="120"/>
        <v>0</v>
      </c>
      <c r="EO129" s="4">
        <f t="shared" si="120"/>
        <v>0</v>
      </c>
      <c r="EP129" s="4">
        <f t="shared" si="120"/>
        <v>0</v>
      </c>
      <c r="EQ129" s="4">
        <f t="shared" si="120"/>
        <v>0</v>
      </c>
      <c r="ER129" s="4">
        <f t="shared" si="120"/>
        <v>0</v>
      </c>
      <c r="ES129" s="4">
        <f t="shared" si="120"/>
        <v>0</v>
      </c>
      <c r="ET129" s="4">
        <f t="shared" si="120"/>
        <v>0</v>
      </c>
      <c r="EU129" s="4">
        <f t="shared" si="120"/>
        <v>0</v>
      </c>
      <c r="EV129" s="4">
        <f t="shared" si="120"/>
        <v>10670.17</v>
      </c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>
        <f>ROUND(SUMIF(AA124:AA127,"=55468473",FQ124:FQ127),2)</f>
        <v>0</v>
      </c>
      <c r="FQ129" s="4">
        <f>ROUND(SUMIF(AA124:AA127,"=55468473",FR124:FR127),2)</f>
        <v>0</v>
      </c>
      <c r="FR129" s="4">
        <f>ROUND(SUMIF(AA124:AA127,"=55468473",GL124:GL127),2)</f>
        <v>0</v>
      </c>
      <c r="FS129" s="4">
        <f>ROUND(SUMIF(AA124:AA127,"=55468473",GM124:GM127),2)</f>
        <v>10670.17</v>
      </c>
      <c r="FT129" s="4">
        <f>ROUND(SUMIF(AA124:AA127,"=55468473",GN124:GN127),2)</f>
        <v>10670.17</v>
      </c>
      <c r="FU129" s="4">
        <f>ROUND(SUMIF(AA124:AA127,"=55468473",GO124:GO127),2)</f>
        <v>0</v>
      </c>
      <c r="FV129" s="4">
        <f>ROUND(SUMIF(AA124:AA127,"=55468473",GP124:GP127),2)</f>
        <v>0</v>
      </c>
      <c r="FW129" s="4">
        <f>DU129-FP129</f>
        <v>0</v>
      </c>
      <c r="FX129" s="4">
        <f>DU129-FQ129</f>
        <v>0</v>
      </c>
      <c r="FY129" s="4">
        <f>FP129-FR129</f>
        <v>0</v>
      </c>
      <c r="FZ129" s="4">
        <f>DU129-FP129-FQ129+FR129</f>
        <v>0</v>
      </c>
      <c r="GA129" s="4">
        <f>FQ129-FR129</f>
        <v>0</v>
      </c>
      <c r="GB129" s="4">
        <f>ROUND(SUMIF(AA124:AA127,"=55468473",GX124:GX127),2)</f>
        <v>0</v>
      </c>
      <c r="GC129" s="4">
        <f>ROUND(SUMIF(AA124:AA127,"=55468473",GY124:GY127),2)</f>
        <v>0</v>
      </c>
      <c r="GD129" s="4">
        <f>ROUND(SUMIF(AA124:AA127,"=55468473",GZ124:GZ127),2)</f>
        <v>0</v>
      </c>
      <c r="GE129" s="4">
        <f>ROUND(SUMIF(AA124:AA127,"=55468473",HD124:HD127),2)</f>
        <v>10670.17</v>
      </c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>
        <v>0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201</v>
      </c>
      <c r="F131" s="5">
        <f>ROUND(Source!O129,O131)</f>
        <v>0</v>
      </c>
      <c r="G131" s="5" t="s">
        <v>65</v>
      </c>
      <c r="H131" s="5" t="s">
        <v>66</v>
      </c>
      <c r="I131" s="5"/>
      <c r="J131" s="5"/>
      <c r="K131" s="5">
        <v>201</v>
      </c>
      <c r="L131" s="5">
        <v>1</v>
      </c>
      <c r="M131" s="5">
        <v>3</v>
      </c>
      <c r="N131" s="5" t="s">
        <v>3</v>
      </c>
      <c r="O131" s="5">
        <v>2</v>
      </c>
      <c r="P131" s="5">
        <f>ROUND(Source!DG129,O131)</f>
        <v>0</v>
      </c>
      <c r="Q131" s="5"/>
      <c r="R131" s="5"/>
      <c r="S131" s="5"/>
      <c r="T131" s="5"/>
      <c r="U131" s="5"/>
      <c r="V131" s="5"/>
      <c r="W131" s="5">
        <v>815.14</v>
      </c>
      <c r="X131" s="5">
        <v>1</v>
      </c>
      <c r="Y131" s="5">
        <v>815.14</v>
      </c>
      <c r="Z131" s="5">
        <v>10670.17</v>
      </c>
      <c r="AA131" s="5">
        <v>1</v>
      </c>
      <c r="AB131" s="5">
        <v>10670.17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202</v>
      </c>
      <c r="F132" s="5">
        <f>ROUND(Source!P129,O132)</f>
        <v>0</v>
      </c>
      <c r="G132" s="5" t="s">
        <v>67</v>
      </c>
      <c r="H132" s="5" t="s">
        <v>68</v>
      </c>
      <c r="I132" s="5"/>
      <c r="J132" s="5"/>
      <c r="K132" s="5">
        <v>202</v>
      </c>
      <c r="L132" s="5">
        <v>2</v>
      </c>
      <c r="M132" s="5">
        <v>3</v>
      </c>
      <c r="N132" s="5" t="s">
        <v>3</v>
      </c>
      <c r="O132" s="5">
        <v>2</v>
      </c>
      <c r="P132" s="5">
        <f>ROUND(Source!DH129,O132)</f>
        <v>0</v>
      </c>
      <c r="Q132" s="5"/>
      <c r="R132" s="5"/>
      <c r="S132" s="5"/>
      <c r="T132" s="5"/>
      <c r="U132" s="5"/>
      <c r="V132" s="5"/>
      <c r="W132" s="5">
        <v>0</v>
      </c>
      <c r="X132" s="5">
        <v>1</v>
      </c>
      <c r="Y132" s="5">
        <v>0</v>
      </c>
      <c r="Z132" s="5">
        <v>0</v>
      </c>
      <c r="AA132" s="5">
        <v>1</v>
      </c>
      <c r="AB132" s="5">
        <v>0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222</v>
      </c>
      <c r="F133" s="5">
        <f>ROUND(Source!AO129,O133)</f>
        <v>0</v>
      </c>
      <c r="G133" s="5" t="s">
        <v>69</v>
      </c>
      <c r="H133" s="5" t="s">
        <v>70</v>
      </c>
      <c r="I133" s="5"/>
      <c r="J133" s="5"/>
      <c r="K133" s="5">
        <v>222</v>
      </c>
      <c r="L133" s="5">
        <v>3</v>
      </c>
      <c r="M133" s="5">
        <v>3</v>
      </c>
      <c r="N133" s="5" t="s">
        <v>3</v>
      </c>
      <c r="O133" s="5">
        <v>2</v>
      </c>
      <c r="P133" s="5">
        <f>ROUND(Source!EG129,O133)</f>
        <v>0</v>
      </c>
      <c r="Q133" s="5"/>
      <c r="R133" s="5"/>
      <c r="S133" s="5"/>
      <c r="T133" s="5"/>
      <c r="U133" s="5"/>
      <c r="V133" s="5"/>
      <c r="W133" s="5">
        <v>0</v>
      </c>
      <c r="X133" s="5">
        <v>1</v>
      </c>
      <c r="Y133" s="5">
        <v>0</v>
      </c>
      <c r="Z133" s="5">
        <v>0</v>
      </c>
      <c r="AA133" s="5">
        <v>1</v>
      </c>
      <c r="AB133" s="5">
        <v>0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225</v>
      </c>
      <c r="F134" s="5">
        <f>ROUND(Source!AV129,O134)</f>
        <v>0</v>
      </c>
      <c r="G134" s="5" t="s">
        <v>71</v>
      </c>
      <c r="H134" s="5" t="s">
        <v>72</v>
      </c>
      <c r="I134" s="5"/>
      <c r="J134" s="5"/>
      <c r="K134" s="5">
        <v>225</v>
      </c>
      <c r="L134" s="5">
        <v>4</v>
      </c>
      <c r="M134" s="5">
        <v>3</v>
      </c>
      <c r="N134" s="5" t="s">
        <v>3</v>
      </c>
      <c r="O134" s="5">
        <v>2</v>
      </c>
      <c r="P134" s="5">
        <f>ROUND(Source!EN129,O134)</f>
        <v>0</v>
      </c>
      <c r="Q134" s="5"/>
      <c r="R134" s="5"/>
      <c r="S134" s="5"/>
      <c r="T134" s="5"/>
      <c r="U134" s="5"/>
      <c r="V134" s="5"/>
      <c r="W134" s="5">
        <v>0</v>
      </c>
      <c r="X134" s="5">
        <v>1</v>
      </c>
      <c r="Y134" s="5">
        <v>0</v>
      </c>
      <c r="Z134" s="5">
        <v>0</v>
      </c>
      <c r="AA134" s="5">
        <v>1</v>
      </c>
      <c r="AB134" s="5">
        <v>0</v>
      </c>
    </row>
    <row r="135" spans="1:28" ht="12.75">
      <c r="A135" s="5">
        <v>50</v>
      </c>
      <c r="B135" s="5">
        <v>1</v>
      </c>
      <c r="C135" s="5">
        <v>0</v>
      </c>
      <c r="D135" s="5">
        <v>1</v>
      </c>
      <c r="E135" s="5">
        <v>226</v>
      </c>
      <c r="F135" s="5">
        <f>ROUND(Source!AW129,O135)</f>
        <v>0</v>
      </c>
      <c r="G135" s="5" t="s">
        <v>73</v>
      </c>
      <c r="H135" s="5" t="s">
        <v>74</v>
      </c>
      <c r="I135" s="5"/>
      <c r="J135" s="5"/>
      <c r="K135" s="5">
        <v>226</v>
      </c>
      <c r="L135" s="5">
        <v>5</v>
      </c>
      <c r="M135" s="5">
        <v>0</v>
      </c>
      <c r="N135" s="5" t="s">
        <v>3</v>
      </c>
      <c r="O135" s="5">
        <v>2</v>
      </c>
      <c r="P135" s="5">
        <f>ROUND(Source!EO129,O135)</f>
        <v>0</v>
      </c>
      <c r="Q135" s="5"/>
      <c r="R135" s="5"/>
      <c r="S135" s="5"/>
      <c r="T135" s="5"/>
      <c r="U135" s="5"/>
      <c r="V135" s="5"/>
      <c r="W135" s="5">
        <v>0</v>
      </c>
      <c r="X135" s="5">
        <v>1</v>
      </c>
      <c r="Y135" s="5">
        <v>0</v>
      </c>
      <c r="Z135" s="5">
        <v>0</v>
      </c>
      <c r="AA135" s="5">
        <v>1</v>
      </c>
      <c r="AB135" s="5">
        <v>0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227</v>
      </c>
      <c r="F136" s="5">
        <f>ROUND(Source!AX129,O136)</f>
        <v>0</v>
      </c>
      <c r="G136" s="5" t="s">
        <v>75</v>
      </c>
      <c r="H136" s="5" t="s">
        <v>76</v>
      </c>
      <c r="I136" s="5"/>
      <c r="J136" s="5"/>
      <c r="K136" s="5">
        <v>227</v>
      </c>
      <c r="L136" s="5">
        <v>6</v>
      </c>
      <c r="M136" s="5">
        <v>3</v>
      </c>
      <c r="N136" s="5" t="s">
        <v>3</v>
      </c>
      <c r="O136" s="5">
        <v>2</v>
      </c>
      <c r="P136" s="5">
        <f>ROUND(Source!EP129,O136)</f>
        <v>0</v>
      </c>
      <c r="Q136" s="5"/>
      <c r="R136" s="5"/>
      <c r="S136" s="5"/>
      <c r="T136" s="5"/>
      <c r="U136" s="5"/>
      <c r="V136" s="5"/>
      <c r="W136" s="5">
        <v>0</v>
      </c>
      <c r="X136" s="5">
        <v>1</v>
      </c>
      <c r="Y136" s="5">
        <v>0</v>
      </c>
      <c r="Z136" s="5">
        <v>0</v>
      </c>
      <c r="AA136" s="5">
        <v>1</v>
      </c>
      <c r="AB136" s="5">
        <v>0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228</v>
      </c>
      <c r="F137" s="5">
        <f>ROUND(Source!AY129,O137)</f>
        <v>0</v>
      </c>
      <c r="G137" s="5" t="s">
        <v>77</v>
      </c>
      <c r="H137" s="5" t="s">
        <v>78</v>
      </c>
      <c r="I137" s="5"/>
      <c r="J137" s="5"/>
      <c r="K137" s="5">
        <v>228</v>
      </c>
      <c r="L137" s="5">
        <v>7</v>
      </c>
      <c r="M137" s="5">
        <v>3</v>
      </c>
      <c r="N137" s="5" t="s">
        <v>3</v>
      </c>
      <c r="O137" s="5">
        <v>2</v>
      </c>
      <c r="P137" s="5">
        <f>ROUND(Source!EQ129,O137)</f>
        <v>0</v>
      </c>
      <c r="Q137" s="5"/>
      <c r="R137" s="5"/>
      <c r="S137" s="5"/>
      <c r="T137" s="5"/>
      <c r="U137" s="5"/>
      <c r="V137" s="5"/>
      <c r="W137" s="5">
        <v>0</v>
      </c>
      <c r="X137" s="5">
        <v>1</v>
      </c>
      <c r="Y137" s="5">
        <v>0</v>
      </c>
      <c r="Z137" s="5">
        <v>0</v>
      </c>
      <c r="AA137" s="5">
        <v>1</v>
      </c>
      <c r="AB137" s="5">
        <v>0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216</v>
      </c>
      <c r="F138" s="5">
        <f>ROUND(Source!AP129,O138)</f>
        <v>0</v>
      </c>
      <c r="G138" s="5" t="s">
        <v>79</v>
      </c>
      <c r="H138" s="5" t="s">
        <v>80</v>
      </c>
      <c r="I138" s="5"/>
      <c r="J138" s="5"/>
      <c r="K138" s="5">
        <v>216</v>
      </c>
      <c r="L138" s="5">
        <v>8</v>
      </c>
      <c r="M138" s="5">
        <v>3</v>
      </c>
      <c r="N138" s="5" t="s">
        <v>3</v>
      </c>
      <c r="O138" s="5">
        <v>2</v>
      </c>
      <c r="P138" s="5">
        <f>ROUND(Source!EH129,O138)</f>
        <v>0</v>
      </c>
      <c r="Q138" s="5"/>
      <c r="R138" s="5"/>
      <c r="S138" s="5"/>
      <c r="T138" s="5"/>
      <c r="U138" s="5"/>
      <c r="V138" s="5"/>
      <c r="W138" s="5">
        <v>0</v>
      </c>
      <c r="X138" s="5">
        <v>1</v>
      </c>
      <c r="Y138" s="5">
        <v>0</v>
      </c>
      <c r="Z138" s="5">
        <v>0</v>
      </c>
      <c r="AA138" s="5">
        <v>1</v>
      </c>
      <c r="AB138" s="5">
        <v>0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223</v>
      </c>
      <c r="F139" s="5">
        <f>ROUND(Source!AQ129,O139)</f>
        <v>0</v>
      </c>
      <c r="G139" s="5" t="s">
        <v>81</v>
      </c>
      <c r="H139" s="5" t="s">
        <v>82</v>
      </c>
      <c r="I139" s="5"/>
      <c r="J139" s="5"/>
      <c r="K139" s="5">
        <v>223</v>
      </c>
      <c r="L139" s="5">
        <v>9</v>
      </c>
      <c r="M139" s="5">
        <v>3</v>
      </c>
      <c r="N139" s="5" t="s">
        <v>3</v>
      </c>
      <c r="O139" s="5">
        <v>2</v>
      </c>
      <c r="P139" s="5">
        <f>ROUND(Source!EI129,O139)</f>
        <v>0</v>
      </c>
      <c r="Q139" s="5"/>
      <c r="R139" s="5"/>
      <c r="S139" s="5"/>
      <c r="T139" s="5"/>
      <c r="U139" s="5"/>
      <c r="V139" s="5"/>
      <c r="W139" s="5">
        <v>0</v>
      </c>
      <c r="X139" s="5">
        <v>1</v>
      </c>
      <c r="Y139" s="5">
        <v>0</v>
      </c>
      <c r="Z139" s="5">
        <v>0</v>
      </c>
      <c r="AA139" s="5">
        <v>1</v>
      </c>
      <c r="AB139" s="5">
        <v>0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229</v>
      </c>
      <c r="F140" s="5">
        <f>ROUND(Source!AZ129,O140)</f>
        <v>0</v>
      </c>
      <c r="G140" s="5" t="s">
        <v>83</v>
      </c>
      <c r="H140" s="5" t="s">
        <v>84</v>
      </c>
      <c r="I140" s="5"/>
      <c r="J140" s="5"/>
      <c r="K140" s="5">
        <v>229</v>
      </c>
      <c r="L140" s="5">
        <v>10</v>
      </c>
      <c r="M140" s="5">
        <v>3</v>
      </c>
      <c r="N140" s="5" t="s">
        <v>3</v>
      </c>
      <c r="O140" s="5">
        <v>2</v>
      </c>
      <c r="P140" s="5">
        <f>ROUND(Source!ER129,O140)</f>
        <v>0</v>
      </c>
      <c r="Q140" s="5"/>
      <c r="R140" s="5"/>
      <c r="S140" s="5"/>
      <c r="T140" s="5"/>
      <c r="U140" s="5"/>
      <c r="V140" s="5"/>
      <c r="W140" s="5">
        <v>0</v>
      </c>
      <c r="X140" s="5">
        <v>1</v>
      </c>
      <c r="Y140" s="5">
        <v>0</v>
      </c>
      <c r="Z140" s="5">
        <v>0</v>
      </c>
      <c r="AA140" s="5">
        <v>1</v>
      </c>
      <c r="AB140" s="5">
        <v>0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203</v>
      </c>
      <c r="F141" s="5">
        <f>ROUND(Source!Q129,O141)</f>
        <v>0</v>
      </c>
      <c r="G141" s="5" t="s">
        <v>85</v>
      </c>
      <c r="H141" s="5" t="s">
        <v>86</v>
      </c>
      <c r="I141" s="5"/>
      <c r="J141" s="5"/>
      <c r="K141" s="5">
        <v>203</v>
      </c>
      <c r="L141" s="5">
        <v>11</v>
      </c>
      <c r="M141" s="5">
        <v>3</v>
      </c>
      <c r="N141" s="5" t="s">
        <v>3</v>
      </c>
      <c r="O141" s="5">
        <v>2</v>
      </c>
      <c r="P141" s="5">
        <f>ROUND(Source!DI129,O141)</f>
        <v>0</v>
      </c>
      <c r="Q141" s="5"/>
      <c r="R141" s="5"/>
      <c r="S141" s="5"/>
      <c r="T141" s="5"/>
      <c r="U141" s="5"/>
      <c r="V141" s="5"/>
      <c r="W141" s="5">
        <v>0</v>
      </c>
      <c r="X141" s="5">
        <v>1</v>
      </c>
      <c r="Y141" s="5">
        <v>0</v>
      </c>
      <c r="Z141" s="5">
        <v>0</v>
      </c>
      <c r="AA141" s="5">
        <v>1</v>
      </c>
      <c r="AB141" s="5">
        <v>0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231</v>
      </c>
      <c r="F142" s="5">
        <f>ROUND(Source!BB129,O142)</f>
        <v>0</v>
      </c>
      <c r="G142" s="5" t="s">
        <v>87</v>
      </c>
      <c r="H142" s="5" t="s">
        <v>88</v>
      </c>
      <c r="I142" s="5"/>
      <c r="J142" s="5"/>
      <c r="K142" s="5">
        <v>231</v>
      </c>
      <c r="L142" s="5">
        <v>12</v>
      </c>
      <c r="M142" s="5">
        <v>3</v>
      </c>
      <c r="N142" s="5" t="s">
        <v>3</v>
      </c>
      <c r="O142" s="5">
        <v>2</v>
      </c>
      <c r="P142" s="5">
        <f>ROUND(Source!ET129,O142)</f>
        <v>0</v>
      </c>
      <c r="Q142" s="5"/>
      <c r="R142" s="5"/>
      <c r="S142" s="5"/>
      <c r="T142" s="5"/>
      <c r="U142" s="5"/>
      <c r="V142" s="5"/>
      <c r="W142" s="5">
        <v>0</v>
      </c>
      <c r="X142" s="5">
        <v>1</v>
      </c>
      <c r="Y142" s="5">
        <v>0</v>
      </c>
      <c r="Z142" s="5">
        <v>0</v>
      </c>
      <c r="AA142" s="5">
        <v>1</v>
      </c>
      <c r="AB142" s="5">
        <v>0</v>
      </c>
    </row>
    <row r="143" spans="1:28" ht="12.75">
      <c r="A143" s="5">
        <v>50</v>
      </c>
      <c r="B143" s="5">
        <v>0</v>
      </c>
      <c r="C143" s="5">
        <v>0</v>
      </c>
      <c r="D143" s="5">
        <v>1</v>
      </c>
      <c r="E143" s="5">
        <v>204</v>
      </c>
      <c r="F143" s="5">
        <f>ROUND(Source!R129,O143)</f>
        <v>0</v>
      </c>
      <c r="G143" s="5" t="s">
        <v>89</v>
      </c>
      <c r="H143" s="5" t="s">
        <v>90</v>
      </c>
      <c r="I143" s="5"/>
      <c r="J143" s="5"/>
      <c r="K143" s="5">
        <v>204</v>
      </c>
      <c r="L143" s="5">
        <v>13</v>
      </c>
      <c r="M143" s="5">
        <v>3</v>
      </c>
      <c r="N143" s="5" t="s">
        <v>3</v>
      </c>
      <c r="O143" s="5">
        <v>2</v>
      </c>
      <c r="P143" s="5">
        <f>ROUND(Source!DJ129,O143)</f>
        <v>0</v>
      </c>
      <c r="Q143" s="5"/>
      <c r="R143" s="5"/>
      <c r="S143" s="5"/>
      <c r="T143" s="5"/>
      <c r="U143" s="5"/>
      <c r="V143" s="5"/>
      <c r="W143" s="5">
        <v>0</v>
      </c>
      <c r="X143" s="5">
        <v>1</v>
      </c>
      <c r="Y143" s="5">
        <v>0</v>
      </c>
      <c r="Z143" s="5">
        <v>0</v>
      </c>
      <c r="AA143" s="5">
        <v>1</v>
      </c>
      <c r="AB143" s="5">
        <v>0</v>
      </c>
    </row>
    <row r="144" spans="1:28" ht="12.75">
      <c r="A144" s="5">
        <v>50</v>
      </c>
      <c r="B144" s="5">
        <v>0</v>
      </c>
      <c r="C144" s="5">
        <v>0</v>
      </c>
      <c r="D144" s="5">
        <v>1</v>
      </c>
      <c r="E144" s="5">
        <v>205</v>
      </c>
      <c r="F144" s="5">
        <f>ROUND(Source!S129,O144)</f>
        <v>0</v>
      </c>
      <c r="G144" s="5" t="s">
        <v>91</v>
      </c>
      <c r="H144" s="5" t="s">
        <v>92</v>
      </c>
      <c r="I144" s="5"/>
      <c r="J144" s="5"/>
      <c r="K144" s="5">
        <v>205</v>
      </c>
      <c r="L144" s="5">
        <v>14</v>
      </c>
      <c r="M144" s="5">
        <v>3</v>
      </c>
      <c r="N144" s="5" t="s">
        <v>3</v>
      </c>
      <c r="O144" s="5">
        <v>2</v>
      </c>
      <c r="P144" s="5">
        <f>ROUND(Source!DK129,O144)</f>
        <v>0</v>
      </c>
      <c r="Q144" s="5"/>
      <c r="R144" s="5"/>
      <c r="S144" s="5"/>
      <c r="T144" s="5"/>
      <c r="U144" s="5"/>
      <c r="V144" s="5"/>
      <c r="W144" s="5">
        <v>0</v>
      </c>
      <c r="X144" s="5">
        <v>1</v>
      </c>
      <c r="Y144" s="5">
        <v>0</v>
      </c>
      <c r="Z144" s="5">
        <v>0</v>
      </c>
      <c r="AA144" s="5">
        <v>1</v>
      </c>
      <c r="AB144" s="5">
        <v>0</v>
      </c>
    </row>
    <row r="145" spans="1:28" ht="12.75">
      <c r="A145" s="5">
        <v>50</v>
      </c>
      <c r="B145" s="5">
        <v>0</v>
      </c>
      <c r="C145" s="5">
        <v>0</v>
      </c>
      <c r="D145" s="5">
        <v>1</v>
      </c>
      <c r="E145" s="5">
        <v>232</v>
      </c>
      <c r="F145" s="5">
        <f>ROUND(Source!BC129,O145)</f>
        <v>0</v>
      </c>
      <c r="G145" s="5" t="s">
        <v>93</v>
      </c>
      <c r="H145" s="5" t="s">
        <v>94</v>
      </c>
      <c r="I145" s="5"/>
      <c r="J145" s="5"/>
      <c r="K145" s="5">
        <v>232</v>
      </c>
      <c r="L145" s="5">
        <v>15</v>
      </c>
      <c r="M145" s="5">
        <v>3</v>
      </c>
      <c r="N145" s="5" t="s">
        <v>3</v>
      </c>
      <c r="O145" s="5">
        <v>2</v>
      </c>
      <c r="P145" s="5">
        <f>ROUND(Source!EU129,O145)</f>
        <v>0</v>
      </c>
      <c r="Q145" s="5"/>
      <c r="R145" s="5"/>
      <c r="S145" s="5"/>
      <c r="T145" s="5"/>
      <c r="U145" s="5"/>
      <c r="V145" s="5"/>
      <c r="W145" s="5">
        <v>0</v>
      </c>
      <c r="X145" s="5">
        <v>1</v>
      </c>
      <c r="Y145" s="5">
        <v>0</v>
      </c>
      <c r="Z145" s="5">
        <v>0</v>
      </c>
      <c r="AA145" s="5">
        <v>1</v>
      </c>
      <c r="AB145" s="5">
        <v>0</v>
      </c>
    </row>
    <row r="146" spans="1:28" ht="12.75">
      <c r="A146" s="5">
        <v>50</v>
      </c>
      <c r="B146" s="5">
        <v>0</v>
      </c>
      <c r="C146" s="5">
        <v>0</v>
      </c>
      <c r="D146" s="5">
        <v>1</v>
      </c>
      <c r="E146" s="5">
        <v>214</v>
      </c>
      <c r="F146" s="5">
        <f>ROUND(Source!AS129,O146)</f>
        <v>815.14</v>
      </c>
      <c r="G146" s="5" t="s">
        <v>95</v>
      </c>
      <c r="H146" s="5" t="s">
        <v>96</v>
      </c>
      <c r="I146" s="5"/>
      <c r="J146" s="5"/>
      <c r="K146" s="5">
        <v>214</v>
      </c>
      <c r="L146" s="5">
        <v>16</v>
      </c>
      <c r="M146" s="5">
        <v>3</v>
      </c>
      <c r="N146" s="5" t="s">
        <v>3</v>
      </c>
      <c r="O146" s="5">
        <v>2</v>
      </c>
      <c r="P146" s="5">
        <f>ROUND(Source!EK129,O146)</f>
        <v>10670.17</v>
      </c>
      <c r="Q146" s="5"/>
      <c r="R146" s="5"/>
      <c r="S146" s="5"/>
      <c r="T146" s="5"/>
      <c r="U146" s="5"/>
      <c r="V146" s="5"/>
      <c r="W146" s="5">
        <v>815.14</v>
      </c>
      <c r="X146" s="5">
        <v>1</v>
      </c>
      <c r="Y146" s="5">
        <v>815.14</v>
      </c>
      <c r="Z146" s="5">
        <v>10670.17</v>
      </c>
      <c r="AA146" s="5">
        <v>1</v>
      </c>
      <c r="AB146" s="5">
        <v>10670.17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215</v>
      </c>
      <c r="F147" s="5">
        <f>ROUND(Source!AT129,O147)</f>
        <v>0</v>
      </c>
      <c r="G147" s="5" t="s">
        <v>97</v>
      </c>
      <c r="H147" s="5" t="s">
        <v>98</v>
      </c>
      <c r="I147" s="5"/>
      <c r="J147" s="5"/>
      <c r="K147" s="5">
        <v>215</v>
      </c>
      <c r="L147" s="5">
        <v>17</v>
      </c>
      <c r="M147" s="5">
        <v>3</v>
      </c>
      <c r="N147" s="5" t="s">
        <v>3</v>
      </c>
      <c r="O147" s="5">
        <v>2</v>
      </c>
      <c r="P147" s="5">
        <f>ROUND(Source!EL129,O147)</f>
        <v>0</v>
      </c>
      <c r="Q147" s="5"/>
      <c r="R147" s="5"/>
      <c r="S147" s="5"/>
      <c r="T147" s="5"/>
      <c r="U147" s="5"/>
      <c r="V147" s="5"/>
      <c r="W147" s="5">
        <v>0</v>
      </c>
      <c r="X147" s="5">
        <v>1</v>
      </c>
      <c r="Y147" s="5">
        <v>0</v>
      </c>
      <c r="Z147" s="5">
        <v>0</v>
      </c>
      <c r="AA147" s="5">
        <v>1</v>
      </c>
      <c r="AB147" s="5">
        <v>0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217</v>
      </c>
      <c r="F148" s="5">
        <f>ROUND(Source!AU129,O148)</f>
        <v>0</v>
      </c>
      <c r="G148" s="5" t="s">
        <v>99</v>
      </c>
      <c r="H148" s="5" t="s">
        <v>100</v>
      </c>
      <c r="I148" s="5"/>
      <c r="J148" s="5"/>
      <c r="K148" s="5">
        <v>217</v>
      </c>
      <c r="L148" s="5">
        <v>18</v>
      </c>
      <c r="M148" s="5">
        <v>3</v>
      </c>
      <c r="N148" s="5" t="s">
        <v>3</v>
      </c>
      <c r="O148" s="5">
        <v>2</v>
      </c>
      <c r="P148" s="5">
        <f>ROUND(Source!EM129,O148)</f>
        <v>0</v>
      </c>
      <c r="Q148" s="5"/>
      <c r="R148" s="5"/>
      <c r="S148" s="5"/>
      <c r="T148" s="5"/>
      <c r="U148" s="5"/>
      <c r="V148" s="5"/>
      <c r="W148" s="5">
        <v>0</v>
      </c>
      <c r="X148" s="5">
        <v>1</v>
      </c>
      <c r="Y148" s="5">
        <v>0</v>
      </c>
      <c r="Z148" s="5">
        <v>0</v>
      </c>
      <c r="AA148" s="5">
        <v>1</v>
      </c>
      <c r="AB148" s="5">
        <v>0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230</v>
      </c>
      <c r="F149" s="5">
        <f>ROUND(Source!BA129,O149)</f>
        <v>0</v>
      </c>
      <c r="G149" s="5" t="s">
        <v>101</v>
      </c>
      <c r="H149" s="5" t="s">
        <v>102</v>
      </c>
      <c r="I149" s="5"/>
      <c r="J149" s="5"/>
      <c r="K149" s="5">
        <v>230</v>
      </c>
      <c r="L149" s="5">
        <v>19</v>
      </c>
      <c r="M149" s="5">
        <v>3</v>
      </c>
      <c r="N149" s="5" t="s">
        <v>3</v>
      </c>
      <c r="O149" s="5">
        <v>2</v>
      </c>
      <c r="P149" s="5">
        <f>ROUND(Source!ES129,O149)</f>
        <v>0</v>
      </c>
      <c r="Q149" s="5"/>
      <c r="R149" s="5"/>
      <c r="S149" s="5"/>
      <c r="T149" s="5"/>
      <c r="U149" s="5"/>
      <c r="V149" s="5"/>
      <c r="W149" s="5">
        <v>0</v>
      </c>
      <c r="X149" s="5">
        <v>1</v>
      </c>
      <c r="Y149" s="5">
        <v>0</v>
      </c>
      <c r="Z149" s="5">
        <v>0</v>
      </c>
      <c r="AA149" s="5">
        <v>1</v>
      </c>
      <c r="AB149" s="5">
        <v>0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206</v>
      </c>
      <c r="F150" s="5">
        <f>ROUND(Source!T129,O150)</f>
        <v>0</v>
      </c>
      <c r="G150" s="5" t="s">
        <v>103</v>
      </c>
      <c r="H150" s="5" t="s">
        <v>104</v>
      </c>
      <c r="I150" s="5"/>
      <c r="J150" s="5"/>
      <c r="K150" s="5">
        <v>206</v>
      </c>
      <c r="L150" s="5">
        <v>20</v>
      </c>
      <c r="M150" s="5">
        <v>3</v>
      </c>
      <c r="N150" s="5" t="s">
        <v>3</v>
      </c>
      <c r="O150" s="5">
        <v>2</v>
      </c>
      <c r="P150" s="5">
        <f>ROUND(Source!DL129,O150)</f>
        <v>0</v>
      </c>
      <c r="Q150" s="5"/>
      <c r="R150" s="5"/>
      <c r="S150" s="5"/>
      <c r="T150" s="5"/>
      <c r="U150" s="5"/>
      <c r="V150" s="5"/>
      <c r="W150" s="5">
        <v>0</v>
      </c>
      <c r="X150" s="5">
        <v>1</v>
      </c>
      <c r="Y150" s="5">
        <v>0</v>
      </c>
      <c r="Z150" s="5">
        <v>0</v>
      </c>
      <c r="AA150" s="5">
        <v>1</v>
      </c>
      <c r="AB150" s="5">
        <v>0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207</v>
      </c>
      <c r="F151" s="5">
        <f>Source!U129</f>
        <v>0</v>
      </c>
      <c r="G151" s="5" t="s">
        <v>105</v>
      </c>
      <c r="H151" s="5" t="s">
        <v>106</v>
      </c>
      <c r="I151" s="5"/>
      <c r="J151" s="5"/>
      <c r="K151" s="5">
        <v>207</v>
      </c>
      <c r="L151" s="5">
        <v>21</v>
      </c>
      <c r="M151" s="5">
        <v>3</v>
      </c>
      <c r="N151" s="5" t="s">
        <v>3</v>
      </c>
      <c r="O151" s="5">
        <v>-1</v>
      </c>
      <c r="P151" s="5">
        <f>Source!DM129</f>
        <v>0</v>
      </c>
      <c r="Q151" s="5"/>
      <c r="R151" s="5"/>
      <c r="S151" s="5"/>
      <c r="T151" s="5"/>
      <c r="U151" s="5"/>
      <c r="V151" s="5"/>
      <c r="W151" s="5">
        <v>0</v>
      </c>
      <c r="X151" s="5">
        <v>1</v>
      </c>
      <c r="Y151" s="5">
        <v>0</v>
      </c>
      <c r="Z151" s="5">
        <v>0</v>
      </c>
      <c r="AA151" s="5">
        <v>1</v>
      </c>
      <c r="AB151" s="5">
        <v>0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208</v>
      </c>
      <c r="F152" s="5">
        <f>Source!V129</f>
        <v>0</v>
      </c>
      <c r="G152" s="5" t="s">
        <v>107</v>
      </c>
      <c r="H152" s="5" t="s">
        <v>108</v>
      </c>
      <c r="I152" s="5"/>
      <c r="J152" s="5"/>
      <c r="K152" s="5">
        <v>208</v>
      </c>
      <c r="L152" s="5">
        <v>22</v>
      </c>
      <c r="M152" s="5">
        <v>3</v>
      </c>
      <c r="N152" s="5" t="s">
        <v>3</v>
      </c>
      <c r="O152" s="5">
        <v>-1</v>
      </c>
      <c r="P152" s="5">
        <f>Source!DN129</f>
        <v>0</v>
      </c>
      <c r="Q152" s="5"/>
      <c r="R152" s="5"/>
      <c r="S152" s="5"/>
      <c r="T152" s="5"/>
      <c r="U152" s="5"/>
      <c r="V152" s="5"/>
      <c r="W152" s="5">
        <v>0</v>
      </c>
      <c r="X152" s="5">
        <v>1</v>
      </c>
      <c r="Y152" s="5">
        <v>0</v>
      </c>
      <c r="Z152" s="5">
        <v>0</v>
      </c>
      <c r="AA152" s="5">
        <v>1</v>
      </c>
      <c r="AB152" s="5">
        <v>0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209</v>
      </c>
      <c r="F153" s="5">
        <f>ROUND(Source!W129,O153)</f>
        <v>0</v>
      </c>
      <c r="G153" s="5" t="s">
        <v>109</v>
      </c>
      <c r="H153" s="5" t="s">
        <v>110</v>
      </c>
      <c r="I153" s="5"/>
      <c r="J153" s="5"/>
      <c r="K153" s="5">
        <v>209</v>
      </c>
      <c r="L153" s="5">
        <v>23</v>
      </c>
      <c r="M153" s="5">
        <v>3</v>
      </c>
      <c r="N153" s="5" t="s">
        <v>3</v>
      </c>
      <c r="O153" s="5">
        <v>2</v>
      </c>
      <c r="P153" s="5">
        <f>ROUND(Source!DO129,O153)</f>
        <v>0</v>
      </c>
      <c r="Q153" s="5"/>
      <c r="R153" s="5"/>
      <c r="S153" s="5"/>
      <c r="T153" s="5"/>
      <c r="U153" s="5"/>
      <c r="V153" s="5"/>
      <c r="W153" s="5">
        <v>0</v>
      </c>
      <c r="X153" s="5">
        <v>1</v>
      </c>
      <c r="Y153" s="5">
        <v>0</v>
      </c>
      <c r="Z153" s="5">
        <v>0</v>
      </c>
      <c r="AA153" s="5">
        <v>1</v>
      </c>
      <c r="AB153" s="5">
        <v>0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233</v>
      </c>
      <c r="F154" s="5">
        <f>ROUND(Source!BD129,O154)</f>
        <v>815.14</v>
      </c>
      <c r="G154" s="5" t="s">
        <v>111</v>
      </c>
      <c r="H154" s="5" t="s">
        <v>112</v>
      </c>
      <c r="I154" s="5"/>
      <c r="J154" s="5"/>
      <c r="K154" s="5">
        <v>233</v>
      </c>
      <c r="L154" s="5">
        <v>24</v>
      </c>
      <c r="M154" s="5">
        <v>3</v>
      </c>
      <c r="N154" s="5" t="s">
        <v>3</v>
      </c>
      <c r="O154" s="5">
        <v>2</v>
      </c>
      <c r="P154" s="5">
        <f>ROUND(Source!EV129,O154)</f>
        <v>10670.17</v>
      </c>
      <c r="Q154" s="5"/>
      <c r="R154" s="5"/>
      <c r="S154" s="5"/>
      <c r="T154" s="5"/>
      <c r="U154" s="5"/>
      <c r="V154" s="5"/>
      <c r="W154" s="5">
        <v>815.14</v>
      </c>
      <c r="X154" s="5">
        <v>1</v>
      </c>
      <c r="Y154" s="5">
        <v>815.14</v>
      </c>
      <c r="Z154" s="5">
        <v>10670.17</v>
      </c>
      <c r="AA154" s="5">
        <v>1</v>
      </c>
      <c r="AB154" s="5">
        <v>10670.17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ROUND(Source!X129,O155)</f>
        <v>0</v>
      </c>
      <c r="G155" s="5" t="s">
        <v>113</v>
      </c>
      <c r="H155" s="5" t="s">
        <v>114</v>
      </c>
      <c r="I155" s="5"/>
      <c r="J155" s="5"/>
      <c r="K155" s="5">
        <v>210</v>
      </c>
      <c r="L155" s="5">
        <v>25</v>
      </c>
      <c r="M155" s="5">
        <v>3</v>
      </c>
      <c r="N155" s="5" t="s">
        <v>3</v>
      </c>
      <c r="O155" s="5">
        <v>2</v>
      </c>
      <c r="P155" s="5">
        <f>ROUND(Source!DP129,O155)</f>
        <v>0</v>
      </c>
      <c r="Q155" s="5"/>
      <c r="R155" s="5"/>
      <c r="S155" s="5"/>
      <c r="T155" s="5"/>
      <c r="U155" s="5"/>
      <c r="V155" s="5"/>
      <c r="W155" s="5">
        <v>0</v>
      </c>
      <c r="X155" s="5">
        <v>1</v>
      </c>
      <c r="Y155" s="5">
        <v>0</v>
      </c>
      <c r="Z155" s="5">
        <v>0</v>
      </c>
      <c r="AA155" s="5">
        <v>1</v>
      </c>
      <c r="AB155" s="5">
        <v>0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ROUND(Source!Y129,O156)</f>
        <v>0</v>
      </c>
      <c r="G156" s="5" t="s">
        <v>115</v>
      </c>
      <c r="H156" s="5" t="s">
        <v>116</v>
      </c>
      <c r="I156" s="5"/>
      <c r="J156" s="5"/>
      <c r="K156" s="5">
        <v>211</v>
      </c>
      <c r="L156" s="5">
        <v>26</v>
      </c>
      <c r="M156" s="5">
        <v>3</v>
      </c>
      <c r="N156" s="5" t="s">
        <v>3</v>
      </c>
      <c r="O156" s="5">
        <v>2</v>
      </c>
      <c r="P156" s="5">
        <f>ROUND(Source!DQ129,O156)</f>
        <v>0</v>
      </c>
      <c r="Q156" s="5"/>
      <c r="R156" s="5"/>
      <c r="S156" s="5"/>
      <c r="T156" s="5"/>
      <c r="U156" s="5"/>
      <c r="V156" s="5"/>
      <c r="W156" s="5">
        <v>0</v>
      </c>
      <c r="X156" s="5">
        <v>1</v>
      </c>
      <c r="Y156" s="5">
        <v>0</v>
      </c>
      <c r="Z156" s="5">
        <v>0</v>
      </c>
      <c r="AA156" s="5">
        <v>1</v>
      </c>
      <c r="AB156" s="5">
        <v>0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ROUND(Source!AR129,O157)</f>
        <v>815.14</v>
      </c>
      <c r="G157" s="5" t="s">
        <v>117</v>
      </c>
      <c r="H157" s="5" t="s">
        <v>118</v>
      </c>
      <c r="I157" s="5"/>
      <c r="J157" s="5"/>
      <c r="K157" s="5">
        <v>224</v>
      </c>
      <c r="L157" s="5">
        <v>27</v>
      </c>
      <c r="M157" s="5">
        <v>3</v>
      </c>
      <c r="N157" s="5" t="s">
        <v>3</v>
      </c>
      <c r="O157" s="5">
        <v>2</v>
      </c>
      <c r="P157" s="5">
        <f>ROUND(Source!EJ129,O157)</f>
        <v>10670.17</v>
      </c>
      <c r="Q157" s="5"/>
      <c r="R157" s="5"/>
      <c r="S157" s="5"/>
      <c r="T157" s="5"/>
      <c r="U157" s="5"/>
      <c r="V157" s="5"/>
      <c r="W157" s="5">
        <v>815.14</v>
      </c>
      <c r="X157" s="5">
        <v>1</v>
      </c>
      <c r="Y157" s="5">
        <v>815.14</v>
      </c>
      <c r="Z157" s="5">
        <v>10670.17</v>
      </c>
      <c r="AA157" s="5">
        <v>1</v>
      </c>
      <c r="AB157" s="5">
        <v>10670.17</v>
      </c>
    </row>
    <row r="158" spans="1:28" ht="12.75">
      <c r="A158" s="5">
        <v>50</v>
      </c>
      <c r="B158" s="5">
        <v>1</v>
      </c>
      <c r="C158" s="5">
        <v>0</v>
      </c>
      <c r="D158" s="5">
        <v>2</v>
      </c>
      <c r="E158" s="5">
        <v>213</v>
      </c>
      <c r="F158" s="5">
        <f>ROUND(F157,O158)</f>
        <v>815.14</v>
      </c>
      <c r="G158" s="5" t="s">
        <v>119</v>
      </c>
      <c r="H158" s="5" t="s">
        <v>120</v>
      </c>
      <c r="I158" s="5"/>
      <c r="J158" s="5"/>
      <c r="K158" s="5">
        <v>212</v>
      </c>
      <c r="L158" s="5">
        <v>28</v>
      </c>
      <c r="M158" s="5">
        <v>0</v>
      </c>
      <c r="N158" s="5" t="s">
        <v>3</v>
      </c>
      <c r="O158" s="5">
        <v>2</v>
      </c>
      <c r="P158" s="5">
        <f>ROUND(P157,O158)</f>
        <v>10670.17</v>
      </c>
      <c r="Q158" s="5"/>
      <c r="R158" s="5"/>
      <c r="S158" s="5"/>
      <c r="T158" s="5"/>
      <c r="U158" s="5"/>
      <c r="V158" s="5"/>
      <c r="W158" s="5">
        <v>815.14</v>
      </c>
      <c r="X158" s="5">
        <v>1</v>
      </c>
      <c r="Y158" s="5">
        <v>815.14</v>
      </c>
      <c r="Z158" s="5">
        <v>10670.17</v>
      </c>
      <c r="AA158" s="5">
        <v>1</v>
      </c>
      <c r="AB158" s="5">
        <v>10670.17</v>
      </c>
    </row>
    <row r="160" spans="1:206" ht="12.75">
      <c r="A160" s="3">
        <v>51</v>
      </c>
      <c r="B160" s="3">
        <f>B20</f>
        <v>1</v>
      </c>
      <c r="C160" s="3">
        <f>A20</f>
        <v>3</v>
      </c>
      <c r="D160" s="3">
        <f>ROW(A20)</f>
        <v>20</v>
      </c>
      <c r="E160" s="3"/>
      <c r="F160" s="3">
        <f>IF(F20&lt;&gt;"",F20,"")</f>
      </c>
      <c r="G160" s="3">
        <f>IF(G20&lt;&gt;"",G20,"")</f>
      </c>
      <c r="H160" s="3">
        <v>0</v>
      </c>
      <c r="I160" s="3"/>
      <c r="J160" s="3"/>
      <c r="K160" s="3"/>
      <c r="L160" s="3"/>
      <c r="M160" s="3"/>
      <c r="N160" s="3"/>
      <c r="O160" s="3">
        <f aca="true" t="shared" si="121" ref="O160:T160">ROUND(O41+O89+O129+AB160,2)</f>
        <v>25006.22</v>
      </c>
      <c r="P160" s="3">
        <f t="shared" si="121"/>
        <v>16962.71</v>
      </c>
      <c r="Q160" s="3">
        <f t="shared" si="121"/>
        <v>5644.3</v>
      </c>
      <c r="R160" s="3">
        <f t="shared" si="121"/>
        <v>317.98</v>
      </c>
      <c r="S160" s="3">
        <f t="shared" si="121"/>
        <v>2399.21</v>
      </c>
      <c r="T160" s="3">
        <f t="shared" si="121"/>
        <v>0</v>
      </c>
      <c r="U160" s="3">
        <f>U41+U89+U129+AH160</f>
        <v>284.15533000000005</v>
      </c>
      <c r="V160" s="3">
        <f>V41+V89+V129+AI160</f>
        <v>29.8918125</v>
      </c>
      <c r="W160" s="3">
        <f>ROUND(W41+W89+W129+AJ160,2)</f>
        <v>0</v>
      </c>
      <c r="X160" s="3">
        <f>ROUND(X41+X89+X129+AK160,2)</f>
        <v>3298.67</v>
      </c>
      <c r="Y160" s="3">
        <f>ROUND(Y41+Y89+Y129+AL160,2)</f>
        <v>2510.31</v>
      </c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>
        <f aca="true" t="shared" si="122" ref="AO160:BD160">ROUND(AO41+AO89+AO129+BX160,2)</f>
        <v>0</v>
      </c>
      <c r="AP160" s="3">
        <f t="shared" si="122"/>
        <v>0</v>
      </c>
      <c r="AQ160" s="3">
        <f t="shared" si="122"/>
        <v>0</v>
      </c>
      <c r="AR160" s="3">
        <f t="shared" si="122"/>
        <v>31630.34</v>
      </c>
      <c r="AS160" s="3">
        <f t="shared" si="122"/>
        <v>31630.34</v>
      </c>
      <c r="AT160" s="3">
        <f t="shared" si="122"/>
        <v>0</v>
      </c>
      <c r="AU160" s="3">
        <f t="shared" si="122"/>
        <v>0</v>
      </c>
      <c r="AV160" s="3">
        <f t="shared" si="122"/>
        <v>16962.71</v>
      </c>
      <c r="AW160" s="3">
        <f t="shared" si="122"/>
        <v>16962.71</v>
      </c>
      <c r="AX160" s="3">
        <f t="shared" si="122"/>
        <v>0</v>
      </c>
      <c r="AY160" s="3">
        <f t="shared" si="122"/>
        <v>16962.71</v>
      </c>
      <c r="AZ160" s="3">
        <f t="shared" si="122"/>
        <v>0</v>
      </c>
      <c r="BA160" s="3">
        <f t="shared" si="122"/>
        <v>0</v>
      </c>
      <c r="BB160" s="3">
        <f t="shared" si="122"/>
        <v>0</v>
      </c>
      <c r="BC160" s="3">
        <f t="shared" si="122"/>
        <v>0</v>
      </c>
      <c r="BD160" s="3">
        <f t="shared" si="122"/>
        <v>815.14</v>
      </c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4">
        <f aca="true" t="shared" si="123" ref="DG160:DL160">ROUND(DG41+DG89+DG129+DT160,2)</f>
        <v>275145.16</v>
      </c>
      <c r="DH160" s="4">
        <f t="shared" si="123"/>
        <v>112802.03</v>
      </c>
      <c r="DI160" s="4">
        <f t="shared" si="123"/>
        <v>73884.16</v>
      </c>
      <c r="DJ160" s="4">
        <f t="shared" si="123"/>
        <v>11723.64</v>
      </c>
      <c r="DK160" s="4">
        <f t="shared" si="123"/>
        <v>88458.97</v>
      </c>
      <c r="DL160" s="4">
        <f t="shared" si="123"/>
        <v>0</v>
      </c>
      <c r="DM160" s="4">
        <f>DM41+DM89+DM129+DZ160</f>
        <v>284.15533000000005</v>
      </c>
      <c r="DN160" s="4">
        <f>DN41+DN89+DN129+EA160</f>
        <v>29.8918125</v>
      </c>
      <c r="DO160" s="4">
        <f>ROUND(DO41+DO89+DO129+EB160,2)</f>
        <v>0</v>
      </c>
      <c r="DP160" s="4">
        <f>ROUND(DP41+DP89+DP129+EC160,2)</f>
        <v>121621.63</v>
      </c>
      <c r="DQ160" s="4">
        <f>ROUND(DQ41+DQ89+DQ129+ED160,2)</f>
        <v>92554.93</v>
      </c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>
        <f aca="true" t="shared" si="124" ref="EG160:EV160">ROUND(EG41+EG89+EG129+FP160,2)</f>
        <v>0</v>
      </c>
      <c r="EH160" s="4">
        <f t="shared" si="124"/>
        <v>0</v>
      </c>
      <c r="EI160" s="4">
        <f t="shared" si="124"/>
        <v>0</v>
      </c>
      <c r="EJ160" s="4">
        <f t="shared" si="124"/>
        <v>499991.89</v>
      </c>
      <c r="EK160" s="4">
        <f t="shared" si="124"/>
        <v>499991.89</v>
      </c>
      <c r="EL160" s="4">
        <f t="shared" si="124"/>
        <v>0</v>
      </c>
      <c r="EM160" s="4">
        <f t="shared" si="124"/>
        <v>0</v>
      </c>
      <c r="EN160" s="4">
        <f t="shared" si="124"/>
        <v>112802.03</v>
      </c>
      <c r="EO160" s="4">
        <f t="shared" si="124"/>
        <v>112802.03</v>
      </c>
      <c r="EP160" s="4">
        <f t="shared" si="124"/>
        <v>0</v>
      </c>
      <c r="EQ160" s="4">
        <f t="shared" si="124"/>
        <v>112802.03</v>
      </c>
      <c r="ER160" s="4">
        <f t="shared" si="124"/>
        <v>0</v>
      </c>
      <c r="ES160" s="4">
        <f t="shared" si="124"/>
        <v>0</v>
      </c>
      <c r="ET160" s="4">
        <f t="shared" si="124"/>
        <v>0</v>
      </c>
      <c r="EU160" s="4">
        <f t="shared" si="124"/>
        <v>0</v>
      </c>
      <c r="EV160" s="4">
        <f t="shared" si="124"/>
        <v>10670.17</v>
      </c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>
        <v>0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201</v>
      </c>
      <c r="F162" s="5">
        <f>ROUND(Source!O160,O162)</f>
        <v>25006.22</v>
      </c>
      <c r="G162" s="5" t="s">
        <v>65</v>
      </c>
      <c r="H162" s="5" t="s">
        <v>66</v>
      </c>
      <c r="I162" s="5"/>
      <c r="J162" s="5"/>
      <c r="K162" s="5">
        <v>201</v>
      </c>
      <c r="L162" s="5">
        <v>1</v>
      </c>
      <c r="M162" s="5">
        <v>3</v>
      </c>
      <c r="N162" s="5" t="s">
        <v>3</v>
      </c>
      <c r="O162" s="5">
        <v>2</v>
      </c>
      <c r="P162" s="5">
        <f>ROUND(Source!DG160,O162)</f>
        <v>275145.16</v>
      </c>
      <c r="Q162" s="5"/>
      <c r="R162" s="5"/>
      <c r="S162" s="5"/>
      <c r="T162" s="5"/>
      <c r="U162" s="5"/>
      <c r="V162" s="5"/>
      <c r="W162" s="5">
        <v>25821.36</v>
      </c>
      <c r="X162" s="5">
        <v>1</v>
      </c>
      <c r="Y162" s="5">
        <v>25821.36</v>
      </c>
      <c r="Z162" s="5">
        <v>285815.33</v>
      </c>
      <c r="AA162" s="5">
        <v>1</v>
      </c>
      <c r="AB162" s="5">
        <v>285815.33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202</v>
      </c>
      <c r="F163" s="5">
        <f>ROUND(Source!P160,O163)</f>
        <v>16962.71</v>
      </c>
      <c r="G163" s="5" t="s">
        <v>67</v>
      </c>
      <c r="H163" s="5" t="s">
        <v>68</v>
      </c>
      <c r="I163" s="5"/>
      <c r="J163" s="5"/>
      <c r="K163" s="5">
        <v>202</v>
      </c>
      <c r="L163" s="5">
        <v>2</v>
      </c>
      <c r="M163" s="5">
        <v>3</v>
      </c>
      <c r="N163" s="5" t="s">
        <v>3</v>
      </c>
      <c r="O163" s="5">
        <v>2</v>
      </c>
      <c r="P163" s="5">
        <f>ROUND(Source!DH160,O163)</f>
        <v>112802.03</v>
      </c>
      <c r="Q163" s="5"/>
      <c r="R163" s="5"/>
      <c r="S163" s="5"/>
      <c r="T163" s="5"/>
      <c r="U163" s="5"/>
      <c r="V163" s="5"/>
      <c r="W163" s="5">
        <v>16962.71</v>
      </c>
      <c r="X163" s="5">
        <v>1</v>
      </c>
      <c r="Y163" s="5">
        <v>16962.71</v>
      </c>
      <c r="Z163" s="5">
        <v>112802.03</v>
      </c>
      <c r="AA163" s="5">
        <v>1</v>
      </c>
      <c r="AB163" s="5">
        <v>112802.03</v>
      </c>
    </row>
    <row r="164" spans="1:28" ht="12.75">
      <c r="A164" s="5">
        <v>50</v>
      </c>
      <c r="B164" s="5">
        <v>0</v>
      </c>
      <c r="C164" s="5">
        <v>0</v>
      </c>
      <c r="D164" s="5">
        <v>1</v>
      </c>
      <c r="E164" s="5">
        <v>222</v>
      </c>
      <c r="F164" s="5">
        <f>ROUND(Source!AO160,O164)</f>
        <v>0</v>
      </c>
      <c r="G164" s="5" t="s">
        <v>69</v>
      </c>
      <c r="H164" s="5" t="s">
        <v>70</v>
      </c>
      <c r="I164" s="5"/>
      <c r="J164" s="5"/>
      <c r="K164" s="5">
        <v>222</v>
      </c>
      <c r="L164" s="5">
        <v>3</v>
      </c>
      <c r="M164" s="5">
        <v>3</v>
      </c>
      <c r="N164" s="5" t="s">
        <v>3</v>
      </c>
      <c r="O164" s="5">
        <v>2</v>
      </c>
      <c r="P164" s="5">
        <f>ROUND(Source!EG160,O164)</f>
        <v>0</v>
      </c>
      <c r="Q164" s="5"/>
      <c r="R164" s="5"/>
      <c r="S164" s="5"/>
      <c r="T164" s="5"/>
      <c r="U164" s="5"/>
      <c r="V164" s="5"/>
      <c r="W164" s="5">
        <v>0</v>
      </c>
      <c r="X164" s="5">
        <v>1</v>
      </c>
      <c r="Y164" s="5">
        <v>0</v>
      </c>
      <c r="Z164" s="5">
        <v>0</v>
      </c>
      <c r="AA164" s="5">
        <v>1</v>
      </c>
      <c r="AB164" s="5">
        <v>0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225</v>
      </c>
      <c r="F165" s="5">
        <f>ROUND(Source!AV160,O165)</f>
        <v>16962.71</v>
      </c>
      <c r="G165" s="5" t="s">
        <v>71</v>
      </c>
      <c r="H165" s="5" t="s">
        <v>72</v>
      </c>
      <c r="I165" s="5"/>
      <c r="J165" s="5"/>
      <c r="K165" s="5">
        <v>225</v>
      </c>
      <c r="L165" s="5">
        <v>4</v>
      </c>
      <c r="M165" s="5">
        <v>3</v>
      </c>
      <c r="N165" s="5" t="s">
        <v>3</v>
      </c>
      <c r="O165" s="5">
        <v>2</v>
      </c>
      <c r="P165" s="5">
        <f>ROUND(Source!EN160,O165)</f>
        <v>112802.03</v>
      </c>
      <c r="Q165" s="5"/>
      <c r="R165" s="5"/>
      <c r="S165" s="5"/>
      <c r="T165" s="5"/>
      <c r="U165" s="5"/>
      <c r="V165" s="5"/>
      <c r="W165" s="5">
        <v>16962.71</v>
      </c>
      <c r="X165" s="5">
        <v>1</v>
      </c>
      <c r="Y165" s="5">
        <v>16962.71</v>
      </c>
      <c r="Z165" s="5">
        <v>112802.03</v>
      </c>
      <c r="AA165" s="5">
        <v>1</v>
      </c>
      <c r="AB165" s="5">
        <v>112802.03</v>
      </c>
    </row>
    <row r="166" spans="1:28" ht="12.75">
      <c r="A166" s="5">
        <v>50</v>
      </c>
      <c r="B166" s="5">
        <v>0</v>
      </c>
      <c r="C166" s="5">
        <v>0</v>
      </c>
      <c r="D166" s="5">
        <v>1</v>
      </c>
      <c r="E166" s="5">
        <v>226</v>
      </c>
      <c r="F166" s="5">
        <f>ROUND(Source!AW160,O166)</f>
        <v>16962.71</v>
      </c>
      <c r="G166" s="5" t="s">
        <v>73</v>
      </c>
      <c r="H166" s="5" t="s">
        <v>74</v>
      </c>
      <c r="I166" s="5"/>
      <c r="J166" s="5"/>
      <c r="K166" s="5">
        <v>226</v>
      </c>
      <c r="L166" s="5">
        <v>5</v>
      </c>
      <c r="M166" s="5">
        <v>3</v>
      </c>
      <c r="N166" s="5" t="s">
        <v>3</v>
      </c>
      <c r="O166" s="5">
        <v>2</v>
      </c>
      <c r="P166" s="5">
        <f>ROUND(Source!EO160,O166)</f>
        <v>112802.03</v>
      </c>
      <c r="Q166" s="5"/>
      <c r="R166" s="5"/>
      <c r="S166" s="5"/>
      <c r="T166" s="5"/>
      <c r="U166" s="5"/>
      <c r="V166" s="5"/>
      <c r="W166" s="5">
        <v>16962.71</v>
      </c>
      <c r="X166" s="5">
        <v>1</v>
      </c>
      <c r="Y166" s="5">
        <v>16962.71</v>
      </c>
      <c r="Z166" s="5">
        <v>112802.03</v>
      </c>
      <c r="AA166" s="5">
        <v>1</v>
      </c>
      <c r="AB166" s="5">
        <v>112802.03</v>
      </c>
    </row>
    <row r="167" spans="1:28" ht="12.75">
      <c r="A167" s="5">
        <v>50</v>
      </c>
      <c r="B167" s="5">
        <v>0</v>
      </c>
      <c r="C167" s="5">
        <v>0</v>
      </c>
      <c r="D167" s="5">
        <v>1</v>
      </c>
      <c r="E167" s="5">
        <v>227</v>
      </c>
      <c r="F167" s="5">
        <f>ROUND(Source!AX160,O167)</f>
        <v>0</v>
      </c>
      <c r="G167" s="5" t="s">
        <v>75</v>
      </c>
      <c r="H167" s="5" t="s">
        <v>76</v>
      </c>
      <c r="I167" s="5"/>
      <c r="J167" s="5"/>
      <c r="K167" s="5">
        <v>227</v>
      </c>
      <c r="L167" s="5">
        <v>6</v>
      </c>
      <c r="M167" s="5">
        <v>3</v>
      </c>
      <c r="N167" s="5" t="s">
        <v>3</v>
      </c>
      <c r="O167" s="5">
        <v>2</v>
      </c>
      <c r="P167" s="5">
        <f>ROUND(Source!EP160,O167)</f>
        <v>0</v>
      </c>
      <c r="Q167" s="5"/>
      <c r="R167" s="5"/>
      <c r="S167" s="5"/>
      <c r="T167" s="5"/>
      <c r="U167" s="5"/>
      <c r="V167" s="5"/>
      <c r="W167" s="5">
        <v>0</v>
      </c>
      <c r="X167" s="5">
        <v>1</v>
      </c>
      <c r="Y167" s="5">
        <v>0</v>
      </c>
      <c r="Z167" s="5">
        <v>0</v>
      </c>
      <c r="AA167" s="5">
        <v>1</v>
      </c>
      <c r="AB167" s="5">
        <v>0</v>
      </c>
    </row>
    <row r="168" spans="1:28" ht="12.75">
      <c r="A168" s="5">
        <v>50</v>
      </c>
      <c r="B168" s="5">
        <v>0</v>
      </c>
      <c r="C168" s="5">
        <v>0</v>
      </c>
      <c r="D168" s="5">
        <v>1</v>
      </c>
      <c r="E168" s="5">
        <v>228</v>
      </c>
      <c r="F168" s="5">
        <f>ROUND(Source!AY160,O168)</f>
        <v>16962.71</v>
      </c>
      <c r="G168" s="5" t="s">
        <v>77</v>
      </c>
      <c r="H168" s="5" t="s">
        <v>78</v>
      </c>
      <c r="I168" s="5"/>
      <c r="J168" s="5"/>
      <c r="K168" s="5">
        <v>228</v>
      </c>
      <c r="L168" s="5">
        <v>7</v>
      </c>
      <c r="M168" s="5">
        <v>3</v>
      </c>
      <c r="N168" s="5" t="s">
        <v>3</v>
      </c>
      <c r="O168" s="5">
        <v>2</v>
      </c>
      <c r="P168" s="5">
        <f>ROUND(Source!EQ160,O168)</f>
        <v>112802.03</v>
      </c>
      <c r="Q168" s="5"/>
      <c r="R168" s="5"/>
      <c r="S168" s="5"/>
      <c r="T168" s="5"/>
      <c r="U168" s="5"/>
      <c r="V168" s="5"/>
      <c r="W168" s="5">
        <v>16962.71</v>
      </c>
      <c r="X168" s="5">
        <v>1</v>
      </c>
      <c r="Y168" s="5">
        <v>16962.71</v>
      </c>
      <c r="Z168" s="5">
        <v>112802.03</v>
      </c>
      <c r="AA168" s="5">
        <v>1</v>
      </c>
      <c r="AB168" s="5">
        <v>112802.03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216</v>
      </c>
      <c r="F169" s="5">
        <f>ROUND(Source!AP160,O169)</f>
        <v>0</v>
      </c>
      <c r="G169" s="5" t="s">
        <v>79</v>
      </c>
      <c r="H169" s="5" t="s">
        <v>80</v>
      </c>
      <c r="I169" s="5"/>
      <c r="J169" s="5"/>
      <c r="K169" s="5">
        <v>216</v>
      </c>
      <c r="L169" s="5">
        <v>8</v>
      </c>
      <c r="M169" s="5">
        <v>3</v>
      </c>
      <c r="N169" s="5" t="s">
        <v>3</v>
      </c>
      <c r="O169" s="5">
        <v>2</v>
      </c>
      <c r="P169" s="5">
        <f>ROUND(Source!EH160,O169)</f>
        <v>0</v>
      </c>
      <c r="Q169" s="5"/>
      <c r="R169" s="5"/>
      <c r="S169" s="5"/>
      <c r="T169" s="5"/>
      <c r="U169" s="5"/>
      <c r="V169" s="5"/>
      <c r="W169" s="5">
        <v>0</v>
      </c>
      <c r="X169" s="5">
        <v>1</v>
      </c>
      <c r="Y169" s="5">
        <v>0</v>
      </c>
      <c r="Z169" s="5">
        <v>0</v>
      </c>
      <c r="AA169" s="5">
        <v>1</v>
      </c>
      <c r="AB169" s="5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223</v>
      </c>
      <c r="F170" s="5">
        <f>ROUND(Source!AQ160,O170)</f>
        <v>0</v>
      </c>
      <c r="G170" s="5" t="s">
        <v>81</v>
      </c>
      <c r="H170" s="5" t="s">
        <v>82</v>
      </c>
      <c r="I170" s="5"/>
      <c r="J170" s="5"/>
      <c r="K170" s="5">
        <v>223</v>
      </c>
      <c r="L170" s="5">
        <v>9</v>
      </c>
      <c r="M170" s="5">
        <v>3</v>
      </c>
      <c r="N170" s="5" t="s">
        <v>3</v>
      </c>
      <c r="O170" s="5">
        <v>2</v>
      </c>
      <c r="P170" s="5">
        <f>ROUND(Source!EI160,O170)</f>
        <v>0</v>
      </c>
      <c r="Q170" s="5"/>
      <c r="R170" s="5"/>
      <c r="S170" s="5"/>
      <c r="T170" s="5"/>
      <c r="U170" s="5"/>
      <c r="V170" s="5"/>
      <c r="W170" s="5">
        <v>0</v>
      </c>
      <c r="X170" s="5">
        <v>1</v>
      </c>
      <c r="Y170" s="5">
        <v>0</v>
      </c>
      <c r="Z170" s="5">
        <v>0</v>
      </c>
      <c r="AA170" s="5">
        <v>1</v>
      </c>
      <c r="AB170" s="5">
        <v>0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229</v>
      </c>
      <c r="F171" s="5">
        <f>ROUND(Source!AZ160,O171)</f>
        <v>0</v>
      </c>
      <c r="G171" s="5" t="s">
        <v>83</v>
      </c>
      <c r="H171" s="5" t="s">
        <v>84</v>
      </c>
      <c r="I171" s="5"/>
      <c r="J171" s="5"/>
      <c r="K171" s="5">
        <v>229</v>
      </c>
      <c r="L171" s="5">
        <v>10</v>
      </c>
      <c r="M171" s="5">
        <v>3</v>
      </c>
      <c r="N171" s="5" t="s">
        <v>3</v>
      </c>
      <c r="O171" s="5">
        <v>2</v>
      </c>
      <c r="P171" s="5">
        <f>ROUND(Source!ER160,O171)</f>
        <v>0</v>
      </c>
      <c r="Q171" s="5"/>
      <c r="R171" s="5"/>
      <c r="S171" s="5"/>
      <c r="T171" s="5"/>
      <c r="U171" s="5"/>
      <c r="V171" s="5"/>
      <c r="W171" s="5">
        <v>0</v>
      </c>
      <c r="X171" s="5">
        <v>1</v>
      </c>
      <c r="Y171" s="5">
        <v>0</v>
      </c>
      <c r="Z171" s="5">
        <v>0</v>
      </c>
      <c r="AA171" s="5">
        <v>1</v>
      </c>
      <c r="AB171" s="5">
        <v>0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203</v>
      </c>
      <c r="F172" s="5">
        <f>ROUND(Source!Q160,O172)</f>
        <v>5644.3</v>
      </c>
      <c r="G172" s="5" t="s">
        <v>85</v>
      </c>
      <c r="H172" s="5" t="s">
        <v>86</v>
      </c>
      <c r="I172" s="5"/>
      <c r="J172" s="5"/>
      <c r="K172" s="5">
        <v>203</v>
      </c>
      <c r="L172" s="5">
        <v>11</v>
      </c>
      <c r="M172" s="5">
        <v>3</v>
      </c>
      <c r="N172" s="5" t="s">
        <v>3</v>
      </c>
      <c r="O172" s="5">
        <v>2</v>
      </c>
      <c r="P172" s="5">
        <f>ROUND(Source!DI160,O172)</f>
        <v>73884.16</v>
      </c>
      <c r="Q172" s="5"/>
      <c r="R172" s="5"/>
      <c r="S172" s="5"/>
      <c r="T172" s="5"/>
      <c r="U172" s="5"/>
      <c r="V172" s="5"/>
      <c r="W172" s="5">
        <v>5644.3</v>
      </c>
      <c r="X172" s="5">
        <v>1</v>
      </c>
      <c r="Y172" s="5">
        <v>5644.3</v>
      </c>
      <c r="Z172" s="5">
        <v>73884.15999999999</v>
      </c>
      <c r="AA172" s="5">
        <v>1</v>
      </c>
      <c r="AB172" s="5">
        <v>73884.15999999999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231</v>
      </c>
      <c r="F173" s="5">
        <f>ROUND(Source!BB160,O173)</f>
        <v>0</v>
      </c>
      <c r="G173" s="5" t="s">
        <v>87</v>
      </c>
      <c r="H173" s="5" t="s">
        <v>88</v>
      </c>
      <c r="I173" s="5"/>
      <c r="J173" s="5"/>
      <c r="K173" s="5">
        <v>231</v>
      </c>
      <c r="L173" s="5">
        <v>12</v>
      </c>
      <c r="M173" s="5">
        <v>3</v>
      </c>
      <c r="N173" s="5" t="s">
        <v>3</v>
      </c>
      <c r="O173" s="5">
        <v>2</v>
      </c>
      <c r="P173" s="5">
        <f>ROUND(Source!ET160,O173)</f>
        <v>0</v>
      </c>
      <c r="Q173" s="5"/>
      <c r="R173" s="5"/>
      <c r="S173" s="5"/>
      <c r="T173" s="5"/>
      <c r="U173" s="5"/>
      <c r="V173" s="5"/>
      <c r="W173" s="5">
        <v>0</v>
      </c>
      <c r="X173" s="5">
        <v>1</v>
      </c>
      <c r="Y173" s="5">
        <v>0</v>
      </c>
      <c r="Z173" s="5">
        <v>0</v>
      </c>
      <c r="AA173" s="5">
        <v>1</v>
      </c>
      <c r="AB173" s="5">
        <v>0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204</v>
      </c>
      <c r="F174" s="5">
        <f>ROUND(Source!R160,O174)</f>
        <v>317.98</v>
      </c>
      <c r="G174" s="5" t="s">
        <v>89</v>
      </c>
      <c r="H174" s="5" t="s">
        <v>90</v>
      </c>
      <c r="I174" s="5"/>
      <c r="J174" s="5"/>
      <c r="K174" s="5">
        <v>204</v>
      </c>
      <c r="L174" s="5">
        <v>13</v>
      </c>
      <c r="M174" s="5">
        <v>3</v>
      </c>
      <c r="N174" s="5" t="s">
        <v>3</v>
      </c>
      <c r="O174" s="5">
        <v>2</v>
      </c>
      <c r="P174" s="5">
        <f>ROUND(Source!DJ160,O174)</f>
        <v>11723.64</v>
      </c>
      <c r="Q174" s="5"/>
      <c r="R174" s="5"/>
      <c r="S174" s="5"/>
      <c r="T174" s="5"/>
      <c r="U174" s="5"/>
      <c r="V174" s="5"/>
      <c r="W174" s="5">
        <v>317.97999999999996</v>
      </c>
      <c r="X174" s="5">
        <v>1</v>
      </c>
      <c r="Y174" s="5">
        <v>317.97999999999996</v>
      </c>
      <c r="Z174" s="5">
        <v>11723.64</v>
      </c>
      <c r="AA174" s="5">
        <v>1</v>
      </c>
      <c r="AB174" s="5">
        <v>11723.64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205</v>
      </c>
      <c r="F175" s="5">
        <f>ROUND(Source!S160,O175)</f>
        <v>2399.21</v>
      </c>
      <c r="G175" s="5" t="s">
        <v>91</v>
      </c>
      <c r="H175" s="5" t="s">
        <v>92</v>
      </c>
      <c r="I175" s="5"/>
      <c r="J175" s="5"/>
      <c r="K175" s="5">
        <v>205</v>
      </c>
      <c r="L175" s="5">
        <v>14</v>
      </c>
      <c r="M175" s="5">
        <v>3</v>
      </c>
      <c r="N175" s="5" t="s">
        <v>3</v>
      </c>
      <c r="O175" s="5">
        <v>2</v>
      </c>
      <c r="P175" s="5">
        <f>ROUND(Source!DK160,O175)</f>
        <v>88458.97</v>
      </c>
      <c r="Q175" s="5"/>
      <c r="R175" s="5"/>
      <c r="S175" s="5"/>
      <c r="T175" s="5"/>
      <c r="U175" s="5"/>
      <c r="V175" s="5"/>
      <c r="W175" s="5">
        <v>2399.21</v>
      </c>
      <c r="X175" s="5">
        <v>1</v>
      </c>
      <c r="Y175" s="5">
        <v>2399.21</v>
      </c>
      <c r="Z175" s="5">
        <v>88458.97</v>
      </c>
      <c r="AA175" s="5">
        <v>1</v>
      </c>
      <c r="AB175" s="5">
        <v>88458.97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232</v>
      </c>
      <c r="F176" s="5">
        <f>ROUND(Source!BC160,O176)</f>
        <v>0</v>
      </c>
      <c r="G176" s="5" t="s">
        <v>93</v>
      </c>
      <c r="H176" s="5" t="s">
        <v>94</v>
      </c>
      <c r="I176" s="5"/>
      <c r="J176" s="5"/>
      <c r="K176" s="5">
        <v>232</v>
      </c>
      <c r="L176" s="5">
        <v>15</v>
      </c>
      <c r="M176" s="5">
        <v>3</v>
      </c>
      <c r="N176" s="5" t="s">
        <v>3</v>
      </c>
      <c r="O176" s="5">
        <v>2</v>
      </c>
      <c r="P176" s="5">
        <f>ROUND(Source!EU160,O176)</f>
        <v>0</v>
      </c>
      <c r="Q176" s="5"/>
      <c r="R176" s="5"/>
      <c r="S176" s="5"/>
      <c r="T176" s="5"/>
      <c r="U176" s="5"/>
      <c r="V176" s="5"/>
      <c r="W176" s="5">
        <v>0</v>
      </c>
      <c r="X176" s="5">
        <v>1</v>
      </c>
      <c r="Y176" s="5">
        <v>0</v>
      </c>
      <c r="Z176" s="5">
        <v>0</v>
      </c>
      <c r="AA176" s="5">
        <v>1</v>
      </c>
      <c r="AB176" s="5">
        <v>0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214</v>
      </c>
      <c r="F177" s="5">
        <f>ROUND(Source!AS160,O177)</f>
        <v>31630.34</v>
      </c>
      <c r="G177" s="5" t="s">
        <v>95</v>
      </c>
      <c r="H177" s="5" t="s">
        <v>96</v>
      </c>
      <c r="I177" s="5"/>
      <c r="J177" s="5"/>
      <c r="K177" s="5">
        <v>214</v>
      </c>
      <c r="L177" s="5">
        <v>16</v>
      </c>
      <c r="M177" s="5">
        <v>3</v>
      </c>
      <c r="N177" s="5" t="s">
        <v>3</v>
      </c>
      <c r="O177" s="5">
        <v>2</v>
      </c>
      <c r="P177" s="5">
        <f>ROUND(Source!EK160,O177)</f>
        <v>499991.89</v>
      </c>
      <c r="Q177" s="5"/>
      <c r="R177" s="5"/>
      <c r="S177" s="5"/>
      <c r="T177" s="5"/>
      <c r="U177" s="5"/>
      <c r="V177" s="5"/>
      <c r="W177" s="5">
        <v>31630.34</v>
      </c>
      <c r="X177" s="5">
        <v>1</v>
      </c>
      <c r="Y177" s="5">
        <v>31630.34</v>
      </c>
      <c r="Z177" s="5">
        <v>499991.89</v>
      </c>
      <c r="AA177" s="5">
        <v>1</v>
      </c>
      <c r="AB177" s="5">
        <v>499991.89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215</v>
      </c>
      <c r="F178" s="5">
        <f>ROUND(Source!AT160,O178)</f>
        <v>0</v>
      </c>
      <c r="G178" s="5" t="s">
        <v>97</v>
      </c>
      <c r="H178" s="5" t="s">
        <v>98</v>
      </c>
      <c r="I178" s="5"/>
      <c r="J178" s="5"/>
      <c r="K178" s="5">
        <v>215</v>
      </c>
      <c r="L178" s="5">
        <v>17</v>
      </c>
      <c r="M178" s="5">
        <v>3</v>
      </c>
      <c r="N178" s="5" t="s">
        <v>3</v>
      </c>
      <c r="O178" s="5">
        <v>2</v>
      </c>
      <c r="P178" s="5">
        <f>ROUND(Source!EL160,O178)</f>
        <v>0</v>
      </c>
      <c r="Q178" s="5"/>
      <c r="R178" s="5"/>
      <c r="S178" s="5"/>
      <c r="T178" s="5"/>
      <c r="U178" s="5"/>
      <c r="V178" s="5"/>
      <c r="W178" s="5">
        <v>0</v>
      </c>
      <c r="X178" s="5">
        <v>1</v>
      </c>
      <c r="Y178" s="5">
        <v>0</v>
      </c>
      <c r="Z178" s="5">
        <v>0</v>
      </c>
      <c r="AA178" s="5">
        <v>1</v>
      </c>
      <c r="AB178" s="5">
        <v>0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217</v>
      </c>
      <c r="F179" s="5">
        <f>ROUND(Source!AU160,O179)</f>
        <v>0</v>
      </c>
      <c r="G179" s="5" t="s">
        <v>99</v>
      </c>
      <c r="H179" s="5" t="s">
        <v>100</v>
      </c>
      <c r="I179" s="5"/>
      <c r="J179" s="5"/>
      <c r="K179" s="5">
        <v>217</v>
      </c>
      <c r="L179" s="5">
        <v>18</v>
      </c>
      <c r="M179" s="5">
        <v>3</v>
      </c>
      <c r="N179" s="5" t="s">
        <v>3</v>
      </c>
      <c r="O179" s="5">
        <v>2</v>
      </c>
      <c r="P179" s="5">
        <f>ROUND(Source!EM160,O179)</f>
        <v>0</v>
      </c>
      <c r="Q179" s="5"/>
      <c r="R179" s="5"/>
      <c r="S179" s="5"/>
      <c r="T179" s="5"/>
      <c r="U179" s="5"/>
      <c r="V179" s="5"/>
      <c r="W179" s="5">
        <v>0</v>
      </c>
      <c r="X179" s="5">
        <v>1</v>
      </c>
      <c r="Y179" s="5">
        <v>0</v>
      </c>
      <c r="Z179" s="5">
        <v>0</v>
      </c>
      <c r="AA179" s="5">
        <v>1</v>
      </c>
      <c r="AB179" s="5">
        <v>0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230</v>
      </c>
      <c r="F180" s="5">
        <f>ROUND(Source!BA160,O180)</f>
        <v>0</v>
      </c>
      <c r="G180" s="5" t="s">
        <v>101</v>
      </c>
      <c r="H180" s="5" t="s">
        <v>102</v>
      </c>
      <c r="I180" s="5"/>
      <c r="J180" s="5"/>
      <c r="K180" s="5">
        <v>230</v>
      </c>
      <c r="L180" s="5">
        <v>19</v>
      </c>
      <c r="M180" s="5">
        <v>3</v>
      </c>
      <c r="N180" s="5" t="s">
        <v>3</v>
      </c>
      <c r="O180" s="5">
        <v>2</v>
      </c>
      <c r="P180" s="5">
        <f>ROUND(Source!ES160,O180)</f>
        <v>0</v>
      </c>
      <c r="Q180" s="5"/>
      <c r="R180" s="5"/>
      <c r="S180" s="5"/>
      <c r="T180" s="5"/>
      <c r="U180" s="5"/>
      <c r="V180" s="5"/>
      <c r="W180" s="5">
        <v>0</v>
      </c>
      <c r="X180" s="5">
        <v>1</v>
      </c>
      <c r="Y180" s="5">
        <v>0</v>
      </c>
      <c r="Z180" s="5">
        <v>0</v>
      </c>
      <c r="AA180" s="5">
        <v>1</v>
      </c>
      <c r="AB180" s="5">
        <v>0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206</v>
      </c>
      <c r="F181" s="5">
        <f>ROUND(Source!T160,O181)</f>
        <v>0</v>
      </c>
      <c r="G181" s="5" t="s">
        <v>103</v>
      </c>
      <c r="H181" s="5" t="s">
        <v>104</v>
      </c>
      <c r="I181" s="5"/>
      <c r="J181" s="5"/>
      <c r="K181" s="5">
        <v>206</v>
      </c>
      <c r="L181" s="5">
        <v>20</v>
      </c>
      <c r="M181" s="5">
        <v>3</v>
      </c>
      <c r="N181" s="5" t="s">
        <v>3</v>
      </c>
      <c r="O181" s="5">
        <v>2</v>
      </c>
      <c r="P181" s="5">
        <f>ROUND(Source!DL160,O181)</f>
        <v>0</v>
      </c>
      <c r="Q181" s="5"/>
      <c r="R181" s="5"/>
      <c r="S181" s="5"/>
      <c r="T181" s="5"/>
      <c r="U181" s="5"/>
      <c r="V181" s="5"/>
      <c r="W181" s="5">
        <v>0</v>
      </c>
      <c r="X181" s="5">
        <v>1</v>
      </c>
      <c r="Y181" s="5">
        <v>0</v>
      </c>
      <c r="Z181" s="5">
        <v>0</v>
      </c>
      <c r="AA181" s="5">
        <v>1</v>
      </c>
      <c r="AB181" s="5">
        <v>0</v>
      </c>
    </row>
    <row r="182" spans="1:28" ht="12.75">
      <c r="A182" s="5">
        <v>50</v>
      </c>
      <c r="B182" s="5">
        <v>0</v>
      </c>
      <c r="C182" s="5">
        <v>0</v>
      </c>
      <c r="D182" s="5">
        <v>1</v>
      </c>
      <c r="E182" s="5">
        <v>207</v>
      </c>
      <c r="F182" s="5">
        <f>Source!U160</f>
        <v>284.15533000000005</v>
      </c>
      <c r="G182" s="5" t="s">
        <v>105</v>
      </c>
      <c r="H182" s="5" t="s">
        <v>106</v>
      </c>
      <c r="I182" s="5"/>
      <c r="J182" s="5"/>
      <c r="K182" s="5">
        <v>207</v>
      </c>
      <c r="L182" s="5">
        <v>21</v>
      </c>
      <c r="M182" s="5">
        <v>3</v>
      </c>
      <c r="N182" s="5" t="s">
        <v>3</v>
      </c>
      <c r="O182" s="5">
        <v>-1</v>
      </c>
      <c r="P182" s="5">
        <f>Source!DM160</f>
        <v>284.15533000000005</v>
      </c>
      <c r="Q182" s="5"/>
      <c r="R182" s="5"/>
      <c r="S182" s="5"/>
      <c r="T182" s="5"/>
      <c r="U182" s="5"/>
      <c r="V182" s="5"/>
      <c r="W182" s="5">
        <v>284.15533</v>
      </c>
      <c r="X182" s="5">
        <v>1</v>
      </c>
      <c r="Y182" s="5">
        <v>284.15533</v>
      </c>
      <c r="Z182" s="5">
        <v>284.15533</v>
      </c>
      <c r="AA182" s="5">
        <v>1</v>
      </c>
      <c r="AB182" s="5">
        <v>284.15533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208</v>
      </c>
      <c r="F183" s="5">
        <f>Source!V160</f>
        <v>29.8918125</v>
      </c>
      <c r="G183" s="5" t="s">
        <v>107</v>
      </c>
      <c r="H183" s="5" t="s">
        <v>108</v>
      </c>
      <c r="I183" s="5"/>
      <c r="J183" s="5"/>
      <c r="K183" s="5">
        <v>208</v>
      </c>
      <c r="L183" s="5">
        <v>22</v>
      </c>
      <c r="M183" s="5">
        <v>3</v>
      </c>
      <c r="N183" s="5" t="s">
        <v>3</v>
      </c>
      <c r="O183" s="5">
        <v>-1</v>
      </c>
      <c r="P183" s="5">
        <f>Source!DN160</f>
        <v>29.8918125</v>
      </c>
      <c r="Q183" s="5"/>
      <c r="R183" s="5"/>
      <c r="S183" s="5"/>
      <c r="T183" s="5"/>
      <c r="U183" s="5"/>
      <c r="V183" s="5"/>
      <c r="W183" s="5">
        <v>29.8918125</v>
      </c>
      <c r="X183" s="5">
        <v>1</v>
      </c>
      <c r="Y183" s="5">
        <v>29.8918125</v>
      </c>
      <c r="Z183" s="5">
        <v>29.8918125</v>
      </c>
      <c r="AA183" s="5">
        <v>1</v>
      </c>
      <c r="AB183" s="5">
        <v>29.8918125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209</v>
      </c>
      <c r="F184" s="5">
        <f>ROUND(Source!W160,O184)</f>
        <v>0</v>
      </c>
      <c r="G184" s="5" t="s">
        <v>109</v>
      </c>
      <c r="H184" s="5" t="s">
        <v>110</v>
      </c>
      <c r="I184" s="5"/>
      <c r="J184" s="5"/>
      <c r="K184" s="5">
        <v>209</v>
      </c>
      <c r="L184" s="5">
        <v>23</v>
      </c>
      <c r="M184" s="5">
        <v>3</v>
      </c>
      <c r="N184" s="5" t="s">
        <v>3</v>
      </c>
      <c r="O184" s="5">
        <v>2</v>
      </c>
      <c r="P184" s="5">
        <f>ROUND(Source!DO160,O184)</f>
        <v>0</v>
      </c>
      <c r="Q184" s="5"/>
      <c r="R184" s="5"/>
      <c r="S184" s="5"/>
      <c r="T184" s="5"/>
      <c r="U184" s="5"/>
      <c r="V184" s="5"/>
      <c r="W184" s="5">
        <v>0</v>
      </c>
      <c r="X184" s="5">
        <v>1</v>
      </c>
      <c r="Y184" s="5">
        <v>0</v>
      </c>
      <c r="Z184" s="5">
        <v>0</v>
      </c>
      <c r="AA184" s="5">
        <v>1</v>
      </c>
      <c r="AB184" s="5">
        <v>0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233</v>
      </c>
      <c r="F185" s="5">
        <f>ROUND(Source!BD160,O185)</f>
        <v>815.14</v>
      </c>
      <c r="G185" s="5" t="s">
        <v>111</v>
      </c>
      <c r="H185" s="5" t="s">
        <v>112</v>
      </c>
      <c r="I185" s="5"/>
      <c r="J185" s="5"/>
      <c r="K185" s="5">
        <v>233</v>
      </c>
      <c r="L185" s="5">
        <v>24</v>
      </c>
      <c r="M185" s="5">
        <v>3</v>
      </c>
      <c r="N185" s="5" t="s">
        <v>3</v>
      </c>
      <c r="O185" s="5">
        <v>2</v>
      </c>
      <c r="P185" s="5">
        <f>ROUND(Source!EV160,O185)</f>
        <v>10670.17</v>
      </c>
      <c r="Q185" s="5"/>
      <c r="R185" s="5"/>
      <c r="S185" s="5"/>
      <c r="T185" s="5"/>
      <c r="U185" s="5"/>
      <c r="V185" s="5"/>
      <c r="W185" s="5">
        <v>815.14</v>
      </c>
      <c r="X185" s="5">
        <v>1</v>
      </c>
      <c r="Y185" s="5">
        <v>815.14</v>
      </c>
      <c r="Z185" s="5">
        <v>10670.17</v>
      </c>
      <c r="AA185" s="5">
        <v>1</v>
      </c>
      <c r="AB185" s="5">
        <v>10670.17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210</v>
      </c>
      <c r="F186" s="5">
        <f>ROUND(Source!X160,O186)</f>
        <v>3298.67</v>
      </c>
      <c r="G186" s="5" t="s">
        <v>113</v>
      </c>
      <c r="H186" s="5" t="s">
        <v>114</v>
      </c>
      <c r="I186" s="5"/>
      <c r="J186" s="5"/>
      <c r="K186" s="5">
        <v>210</v>
      </c>
      <c r="L186" s="5">
        <v>25</v>
      </c>
      <c r="M186" s="5">
        <v>3</v>
      </c>
      <c r="N186" s="5" t="s">
        <v>3</v>
      </c>
      <c r="O186" s="5">
        <v>2</v>
      </c>
      <c r="P186" s="5">
        <f>ROUND(Source!DP160,O186)</f>
        <v>121621.63</v>
      </c>
      <c r="Q186" s="5"/>
      <c r="R186" s="5"/>
      <c r="S186" s="5"/>
      <c r="T186" s="5"/>
      <c r="U186" s="5"/>
      <c r="V186" s="5"/>
      <c r="W186" s="5">
        <v>3298.67</v>
      </c>
      <c r="X186" s="5">
        <v>1</v>
      </c>
      <c r="Y186" s="5">
        <v>3298.67</v>
      </c>
      <c r="Z186" s="5">
        <v>121621.63</v>
      </c>
      <c r="AA186" s="5">
        <v>1</v>
      </c>
      <c r="AB186" s="5">
        <v>121621.63</v>
      </c>
    </row>
    <row r="187" spans="1:28" ht="12.75">
      <c r="A187" s="5">
        <v>50</v>
      </c>
      <c r="B187" s="5">
        <v>0</v>
      </c>
      <c r="C187" s="5">
        <v>0</v>
      </c>
      <c r="D187" s="5">
        <v>1</v>
      </c>
      <c r="E187" s="5">
        <v>211</v>
      </c>
      <c r="F187" s="5">
        <f>ROUND(Source!Y160,O187)</f>
        <v>2510.31</v>
      </c>
      <c r="G187" s="5" t="s">
        <v>115</v>
      </c>
      <c r="H187" s="5" t="s">
        <v>116</v>
      </c>
      <c r="I187" s="5"/>
      <c r="J187" s="5"/>
      <c r="K187" s="5">
        <v>211</v>
      </c>
      <c r="L187" s="5">
        <v>26</v>
      </c>
      <c r="M187" s="5">
        <v>3</v>
      </c>
      <c r="N187" s="5" t="s">
        <v>3</v>
      </c>
      <c r="O187" s="5">
        <v>2</v>
      </c>
      <c r="P187" s="5">
        <f>ROUND(Source!DQ160,O187)</f>
        <v>92554.93</v>
      </c>
      <c r="Q187" s="5"/>
      <c r="R187" s="5"/>
      <c r="S187" s="5"/>
      <c r="T187" s="5"/>
      <c r="U187" s="5"/>
      <c r="V187" s="5"/>
      <c r="W187" s="5">
        <v>2510.31</v>
      </c>
      <c r="X187" s="5">
        <v>1</v>
      </c>
      <c r="Y187" s="5">
        <v>2510.31</v>
      </c>
      <c r="Z187" s="5">
        <v>92554.93</v>
      </c>
      <c r="AA187" s="5">
        <v>1</v>
      </c>
      <c r="AB187" s="5">
        <v>92554.93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0</v>
      </c>
      <c r="F188" s="5">
        <f>ROUND(Source!AR160,O188)</f>
        <v>31630.34</v>
      </c>
      <c r="G188" s="5" t="s">
        <v>117</v>
      </c>
      <c r="H188" s="5" t="s">
        <v>118</v>
      </c>
      <c r="I188" s="5"/>
      <c r="J188" s="5"/>
      <c r="K188" s="5">
        <v>224</v>
      </c>
      <c r="L188" s="5">
        <v>27</v>
      </c>
      <c r="M188" s="5">
        <v>3</v>
      </c>
      <c r="N188" s="5" t="s">
        <v>3</v>
      </c>
      <c r="O188" s="5">
        <v>2</v>
      </c>
      <c r="P188" s="5">
        <f>ROUND(Source!EJ160,O188)</f>
        <v>499991.89</v>
      </c>
      <c r="Q188" s="5"/>
      <c r="R188" s="5"/>
      <c r="S188" s="5"/>
      <c r="T188" s="5"/>
      <c r="U188" s="5"/>
      <c r="V188" s="5"/>
      <c r="W188" s="5">
        <v>31630.34</v>
      </c>
      <c r="X188" s="5">
        <v>1</v>
      </c>
      <c r="Y188" s="5">
        <v>31630.34</v>
      </c>
      <c r="Z188" s="5">
        <v>499991.89</v>
      </c>
      <c r="AA188" s="5">
        <v>1</v>
      </c>
      <c r="AB188" s="5">
        <v>499991.89</v>
      </c>
    </row>
    <row r="189" spans="1:28" ht="12.75">
      <c r="A189" s="5">
        <v>50</v>
      </c>
      <c r="B189" s="5">
        <v>0</v>
      </c>
      <c r="C189" s="5">
        <v>0</v>
      </c>
      <c r="D189" s="5">
        <v>2</v>
      </c>
      <c r="E189" s="5">
        <v>0</v>
      </c>
      <c r="F189" s="5">
        <f>ROUND(F166,O189)</f>
        <v>16962.71</v>
      </c>
      <c r="G189" s="5" t="s">
        <v>165</v>
      </c>
      <c r="H189" s="5" t="s">
        <v>165</v>
      </c>
      <c r="I189" s="5"/>
      <c r="J189" s="5"/>
      <c r="K189" s="5">
        <v>212</v>
      </c>
      <c r="L189" s="5">
        <v>28</v>
      </c>
      <c r="M189" s="5">
        <v>3</v>
      </c>
      <c r="N189" s="5" t="s">
        <v>3</v>
      </c>
      <c r="O189" s="5">
        <v>2</v>
      </c>
      <c r="P189" s="5">
        <f>ROUND(P166,O189)</f>
        <v>112802.03</v>
      </c>
      <c r="Q189" s="5"/>
      <c r="R189" s="5"/>
      <c r="S189" s="5"/>
      <c r="T189" s="5"/>
      <c r="U189" s="5"/>
      <c r="V189" s="5"/>
      <c r="W189" s="5">
        <v>16962.71</v>
      </c>
      <c r="X189" s="5">
        <v>1</v>
      </c>
      <c r="Y189" s="5">
        <v>16962.71</v>
      </c>
      <c r="Z189" s="5">
        <v>112802.03</v>
      </c>
      <c r="AA189" s="5">
        <v>1</v>
      </c>
      <c r="AB189" s="5">
        <v>112802.03</v>
      </c>
    </row>
    <row r="190" spans="1:28" ht="12.75">
      <c r="A190" s="5">
        <v>50</v>
      </c>
      <c r="B190" s="5">
        <v>0</v>
      </c>
      <c r="C190" s="5">
        <v>0</v>
      </c>
      <c r="D190" s="5">
        <v>2</v>
      </c>
      <c r="E190" s="5">
        <v>0</v>
      </c>
      <c r="F190" s="5">
        <f>ROUND(F188,O190)</f>
        <v>31630.34</v>
      </c>
      <c r="G190" s="5" t="s">
        <v>119</v>
      </c>
      <c r="H190" s="5" t="s">
        <v>120</v>
      </c>
      <c r="I190" s="5"/>
      <c r="J190" s="5"/>
      <c r="K190" s="5">
        <v>212</v>
      </c>
      <c r="L190" s="5">
        <v>29</v>
      </c>
      <c r="M190" s="5">
        <v>3</v>
      </c>
      <c r="N190" s="5" t="s">
        <v>3</v>
      </c>
      <c r="O190" s="5">
        <v>2</v>
      </c>
      <c r="P190" s="5">
        <f>ROUND(P188,O190)</f>
        <v>499991.89</v>
      </c>
      <c r="Q190" s="5"/>
      <c r="R190" s="5"/>
      <c r="S190" s="5"/>
      <c r="T190" s="5"/>
      <c r="U190" s="5"/>
      <c r="V190" s="5"/>
      <c r="W190" s="5">
        <v>31630.34</v>
      </c>
      <c r="X190" s="5">
        <v>1</v>
      </c>
      <c r="Y190" s="5">
        <v>31630.34</v>
      </c>
      <c r="Z190" s="5">
        <v>499991.89</v>
      </c>
      <c r="AA190" s="5">
        <v>1</v>
      </c>
      <c r="AB190" s="5">
        <v>499991.89</v>
      </c>
    </row>
    <row r="191" spans="1:28" ht="12.75">
      <c r="A191" s="5">
        <v>50</v>
      </c>
      <c r="B191" s="5">
        <v>1</v>
      </c>
      <c r="C191" s="5">
        <v>0</v>
      </c>
      <c r="D191" s="5">
        <v>2</v>
      </c>
      <c r="E191" s="5">
        <v>0</v>
      </c>
      <c r="F191" s="5">
        <f>ROUND(F190*0.2,O191)</f>
        <v>6326.07</v>
      </c>
      <c r="G191" s="5" t="s">
        <v>166</v>
      </c>
      <c r="H191" s="5" t="s">
        <v>167</v>
      </c>
      <c r="I191" s="5"/>
      <c r="J191" s="5"/>
      <c r="K191" s="5">
        <v>212</v>
      </c>
      <c r="L191" s="5">
        <v>32</v>
      </c>
      <c r="M191" s="5">
        <v>0</v>
      </c>
      <c r="N191" s="5" t="s">
        <v>3</v>
      </c>
      <c r="O191" s="5">
        <v>2</v>
      </c>
      <c r="P191" s="5">
        <f>ROUND(P190*0.2,O191)</f>
        <v>99998.38</v>
      </c>
      <c r="Q191" s="5"/>
      <c r="R191" s="5"/>
      <c r="S191" s="5"/>
      <c r="T191" s="5"/>
      <c r="U191" s="5"/>
      <c r="V191" s="5"/>
      <c r="W191" s="5">
        <v>6326.07</v>
      </c>
      <c r="X191" s="5">
        <v>1</v>
      </c>
      <c r="Y191" s="5">
        <v>6326.07</v>
      </c>
      <c r="Z191" s="5">
        <v>99998.38</v>
      </c>
      <c r="AA191" s="5">
        <v>1</v>
      </c>
      <c r="AB191" s="5">
        <v>99998.38</v>
      </c>
    </row>
    <row r="192" spans="1:28" ht="12.75">
      <c r="A192" s="5">
        <v>50</v>
      </c>
      <c r="B192" s="5">
        <v>1</v>
      </c>
      <c r="C192" s="5">
        <v>0</v>
      </c>
      <c r="D192" s="5">
        <v>2</v>
      </c>
      <c r="E192" s="5">
        <v>224</v>
      </c>
      <c r="F192" s="5">
        <f>ROUND(F190+F191,O192)</f>
        <v>37956.41</v>
      </c>
      <c r="G192" s="5" t="s">
        <v>168</v>
      </c>
      <c r="H192" s="5" t="s">
        <v>168</v>
      </c>
      <c r="I192" s="5"/>
      <c r="J192" s="5"/>
      <c r="K192" s="5">
        <v>212</v>
      </c>
      <c r="L192" s="5">
        <v>33</v>
      </c>
      <c r="M192" s="5">
        <v>0</v>
      </c>
      <c r="N192" s="5" t="s">
        <v>3</v>
      </c>
      <c r="O192" s="5">
        <v>2</v>
      </c>
      <c r="P192" s="5">
        <f>ROUND(P190+P191,O192)</f>
        <v>599990.27</v>
      </c>
      <c r="Q192" s="5"/>
      <c r="R192" s="5"/>
      <c r="S192" s="5"/>
      <c r="T192" s="5"/>
      <c r="U192" s="5"/>
      <c r="V192" s="5"/>
      <c r="W192" s="5">
        <v>37956.41</v>
      </c>
      <c r="X192" s="5">
        <v>1</v>
      </c>
      <c r="Y192" s="5">
        <v>37956.41</v>
      </c>
      <c r="Z192" s="5">
        <v>599990.27</v>
      </c>
      <c r="AA192" s="5">
        <v>1</v>
      </c>
      <c r="AB192" s="5">
        <v>599990.27</v>
      </c>
    </row>
    <row r="194" spans="1:206" ht="12.75">
      <c r="A194" s="3">
        <v>51</v>
      </c>
      <c r="B194" s="3">
        <f>B12</f>
        <v>258</v>
      </c>
      <c r="C194" s="3">
        <f>A12</f>
        <v>1</v>
      </c>
      <c r="D194" s="3">
        <f>ROW(A12)</f>
        <v>12</v>
      </c>
      <c r="E194" s="3"/>
      <c r="F194" s="3">
        <f>IF(F12&lt;&gt;"",F12,"")</f>
      </c>
      <c r="G194" s="3" t="str">
        <f>IF(G12&lt;&gt;"",G12,"")</f>
        <v>Выполнение работ по текущему ремонту элементов благоустройства ИПУ РАН</v>
      </c>
      <c r="H194" s="3">
        <v>0</v>
      </c>
      <c r="I194" s="3"/>
      <c r="J194" s="3"/>
      <c r="K194" s="3"/>
      <c r="L194" s="3"/>
      <c r="M194" s="3"/>
      <c r="N194" s="3"/>
      <c r="O194" s="3">
        <f aca="true" t="shared" si="125" ref="O194:T194">ROUND(O160,2)</f>
        <v>25006.22</v>
      </c>
      <c r="P194" s="3">
        <f t="shared" si="125"/>
        <v>16962.71</v>
      </c>
      <c r="Q194" s="3">
        <f t="shared" si="125"/>
        <v>5644.3</v>
      </c>
      <c r="R194" s="3">
        <f t="shared" si="125"/>
        <v>317.98</v>
      </c>
      <c r="S194" s="3">
        <f t="shared" si="125"/>
        <v>2399.21</v>
      </c>
      <c r="T194" s="3">
        <f t="shared" si="125"/>
        <v>0</v>
      </c>
      <c r="U194" s="3">
        <f>U160</f>
        <v>284.15533000000005</v>
      </c>
      <c r="V194" s="3">
        <f>V160</f>
        <v>29.8918125</v>
      </c>
      <c r="W194" s="3">
        <f>ROUND(W160,2)</f>
        <v>0</v>
      </c>
      <c r="X194" s="3">
        <f>ROUND(X160,2)</f>
        <v>3298.67</v>
      </c>
      <c r="Y194" s="3">
        <f>ROUND(Y160,2)</f>
        <v>2510.31</v>
      </c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>
        <f aca="true" t="shared" si="126" ref="AO194:BD194">ROUND(AO160,2)</f>
        <v>0</v>
      </c>
      <c r="AP194" s="3">
        <f t="shared" si="126"/>
        <v>0</v>
      </c>
      <c r="AQ194" s="3">
        <f t="shared" si="126"/>
        <v>0</v>
      </c>
      <c r="AR194" s="3">
        <f t="shared" si="126"/>
        <v>31630.34</v>
      </c>
      <c r="AS194" s="3">
        <f t="shared" si="126"/>
        <v>31630.34</v>
      </c>
      <c r="AT194" s="3">
        <f t="shared" si="126"/>
        <v>0</v>
      </c>
      <c r="AU194" s="3">
        <f t="shared" si="126"/>
        <v>0</v>
      </c>
      <c r="AV194" s="3">
        <f t="shared" si="126"/>
        <v>16962.71</v>
      </c>
      <c r="AW194" s="3">
        <f t="shared" si="126"/>
        <v>16962.71</v>
      </c>
      <c r="AX194" s="3">
        <f t="shared" si="126"/>
        <v>0</v>
      </c>
      <c r="AY194" s="3">
        <f t="shared" si="126"/>
        <v>16962.71</v>
      </c>
      <c r="AZ194" s="3">
        <f t="shared" si="126"/>
        <v>0</v>
      </c>
      <c r="BA194" s="3">
        <f t="shared" si="126"/>
        <v>0</v>
      </c>
      <c r="BB194" s="3">
        <f t="shared" si="126"/>
        <v>0</v>
      </c>
      <c r="BC194" s="3">
        <f t="shared" si="126"/>
        <v>0</v>
      </c>
      <c r="BD194" s="3">
        <f t="shared" si="126"/>
        <v>815.14</v>
      </c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4">
        <f aca="true" t="shared" si="127" ref="DG194:DL194">ROUND(DG160,2)</f>
        <v>275145.16</v>
      </c>
      <c r="DH194" s="4">
        <f t="shared" si="127"/>
        <v>112802.03</v>
      </c>
      <c r="DI194" s="4">
        <f t="shared" si="127"/>
        <v>73884.16</v>
      </c>
      <c r="DJ194" s="4">
        <f t="shared" si="127"/>
        <v>11723.64</v>
      </c>
      <c r="DK194" s="4">
        <f t="shared" si="127"/>
        <v>88458.97</v>
      </c>
      <c r="DL194" s="4">
        <f t="shared" si="127"/>
        <v>0</v>
      </c>
      <c r="DM194" s="4">
        <f>DM160</f>
        <v>284.15533000000005</v>
      </c>
      <c r="DN194" s="4">
        <f>DN160</f>
        <v>29.8918125</v>
      </c>
      <c r="DO194" s="4">
        <f>ROUND(DO160,2)</f>
        <v>0</v>
      </c>
      <c r="DP194" s="4">
        <f>ROUND(DP160,2)</f>
        <v>121621.63</v>
      </c>
      <c r="DQ194" s="4">
        <f>ROUND(DQ160,2)</f>
        <v>92554.93</v>
      </c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>
        <f aca="true" t="shared" si="128" ref="EG194:EV194">ROUND(EG160,2)</f>
        <v>0</v>
      </c>
      <c r="EH194" s="4">
        <f t="shared" si="128"/>
        <v>0</v>
      </c>
      <c r="EI194" s="4">
        <f t="shared" si="128"/>
        <v>0</v>
      </c>
      <c r="EJ194" s="4">
        <f t="shared" si="128"/>
        <v>499991.89</v>
      </c>
      <c r="EK194" s="4">
        <f t="shared" si="128"/>
        <v>499991.89</v>
      </c>
      <c r="EL194" s="4">
        <f t="shared" si="128"/>
        <v>0</v>
      </c>
      <c r="EM194" s="4">
        <f t="shared" si="128"/>
        <v>0</v>
      </c>
      <c r="EN194" s="4">
        <f t="shared" si="128"/>
        <v>112802.03</v>
      </c>
      <c r="EO194" s="4">
        <f t="shared" si="128"/>
        <v>112802.03</v>
      </c>
      <c r="EP194" s="4">
        <f t="shared" si="128"/>
        <v>0</v>
      </c>
      <c r="EQ194" s="4">
        <f t="shared" si="128"/>
        <v>112802.03</v>
      </c>
      <c r="ER194" s="4">
        <f t="shared" si="128"/>
        <v>0</v>
      </c>
      <c r="ES194" s="4">
        <f t="shared" si="128"/>
        <v>0</v>
      </c>
      <c r="ET194" s="4">
        <f t="shared" si="128"/>
        <v>0</v>
      </c>
      <c r="EU194" s="4">
        <f t="shared" si="128"/>
        <v>0</v>
      </c>
      <c r="EV194" s="4">
        <f t="shared" si="128"/>
        <v>10670.17</v>
      </c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>
        <v>0</v>
      </c>
    </row>
    <row r="196" spans="1:28" ht="12.75">
      <c r="A196" s="5">
        <v>50</v>
      </c>
      <c r="B196" s="5">
        <v>0</v>
      </c>
      <c r="C196" s="5">
        <v>0</v>
      </c>
      <c r="D196" s="5">
        <v>1</v>
      </c>
      <c r="E196" s="5">
        <v>201</v>
      </c>
      <c r="F196" s="5">
        <f>ROUND(Source!O194,O196)</f>
        <v>25006.22</v>
      </c>
      <c r="G196" s="5" t="s">
        <v>65</v>
      </c>
      <c r="H196" s="5" t="s">
        <v>66</v>
      </c>
      <c r="I196" s="5"/>
      <c r="J196" s="5"/>
      <c r="K196" s="5">
        <v>201</v>
      </c>
      <c r="L196" s="5">
        <v>1</v>
      </c>
      <c r="M196" s="5">
        <v>3</v>
      </c>
      <c r="N196" s="5" t="s">
        <v>3</v>
      </c>
      <c r="O196" s="5">
        <v>2</v>
      </c>
      <c r="P196" s="5">
        <f>ROUND(Source!DG194,O196)</f>
        <v>275145.16</v>
      </c>
      <c r="Q196" s="5"/>
      <c r="R196" s="5"/>
      <c r="S196" s="5"/>
      <c r="T196" s="5"/>
      <c r="U196" s="5"/>
      <c r="V196" s="5"/>
      <c r="W196" s="5">
        <v>25821.36</v>
      </c>
      <c r="X196" s="5">
        <v>1</v>
      </c>
      <c r="Y196" s="5">
        <v>25821.36</v>
      </c>
      <c r="Z196" s="5">
        <v>285815.33</v>
      </c>
      <c r="AA196" s="5">
        <v>1</v>
      </c>
      <c r="AB196" s="5">
        <v>285815.33</v>
      </c>
    </row>
    <row r="197" spans="1:28" ht="12.75">
      <c r="A197" s="5">
        <v>50</v>
      </c>
      <c r="B197" s="5">
        <v>0</v>
      </c>
      <c r="C197" s="5">
        <v>0</v>
      </c>
      <c r="D197" s="5">
        <v>1</v>
      </c>
      <c r="E197" s="5">
        <v>202</v>
      </c>
      <c r="F197" s="5">
        <f>ROUND(Source!P194,O197)</f>
        <v>16962.71</v>
      </c>
      <c r="G197" s="5" t="s">
        <v>67</v>
      </c>
      <c r="H197" s="5" t="s">
        <v>68</v>
      </c>
      <c r="I197" s="5"/>
      <c r="J197" s="5"/>
      <c r="K197" s="5">
        <v>202</v>
      </c>
      <c r="L197" s="5">
        <v>2</v>
      </c>
      <c r="M197" s="5">
        <v>3</v>
      </c>
      <c r="N197" s="5" t="s">
        <v>3</v>
      </c>
      <c r="O197" s="5">
        <v>2</v>
      </c>
      <c r="P197" s="5">
        <f>ROUND(Source!DH194,O197)</f>
        <v>112802.03</v>
      </c>
      <c r="Q197" s="5"/>
      <c r="R197" s="5"/>
      <c r="S197" s="5"/>
      <c r="T197" s="5"/>
      <c r="U197" s="5"/>
      <c r="V197" s="5"/>
      <c r="W197" s="5">
        <v>16962.71</v>
      </c>
      <c r="X197" s="5">
        <v>1</v>
      </c>
      <c r="Y197" s="5">
        <v>16962.71</v>
      </c>
      <c r="Z197" s="5">
        <v>112802.03</v>
      </c>
      <c r="AA197" s="5">
        <v>1</v>
      </c>
      <c r="AB197" s="5">
        <v>112802.03</v>
      </c>
    </row>
    <row r="198" spans="1:28" ht="12.75">
      <c r="A198" s="5">
        <v>50</v>
      </c>
      <c r="B198" s="5">
        <v>0</v>
      </c>
      <c r="C198" s="5">
        <v>0</v>
      </c>
      <c r="D198" s="5">
        <v>1</v>
      </c>
      <c r="E198" s="5">
        <v>222</v>
      </c>
      <c r="F198" s="5">
        <f>ROUND(Source!AO194,O198)</f>
        <v>0</v>
      </c>
      <c r="G198" s="5" t="s">
        <v>69</v>
      </c>
      <c r="H198" s="5" t="s">
        <v>70</v>
      </c>
      <c r="I198" s="5"/>
      <c r="J198" s="5"/>
      <c r="K198" s="5">
        <v>222</v>
      </c>
      <c r="L198" s="5">
        <v>3</v>
      </c>
      <c r="M198" s="5">
        <v>3</v>
      </c>
      <c r="N198" s="5" t="s">
        <v>3</v>
      </c>
      <c r="O198" s="5">
        <v>2</v>
      </c>
      <c r="P198" s="5">
        <f>ROUND(Source!EG194,O198)</f>
        <v>0</v>
      </c>
      <c r="Q198" s="5"/>
      <c r="R198" s="5"/>
      <c r="S198" s="5"/>
      <c r="T198" s="5"/>
      <c r="U198" s="5"/>
      <c r="V198" s="5"/>
      <c r="W198" s="5">
        <v>0</v>
      </c>
      <c r="X198" s="5">
        <v>1</v>
      </c>
      <c r="Y198" s="5">
        <v>0</v>
      </c>
      <c r="Z198" s="5">
        <v>0</v>
      </c>
      <c r="AA198" s="5">
        <v>1</v>
      </c>
      <c r="AB198" s="5">
        <v>0</v>
      </c>
    </row>
    <row r="199" spans="1:28" ht="12.75">
      <c r="A199" s="5">
        <v>50</v>
      </c>
      <c r="B199" s="5">
        <v>0</v>
      </c>
      <c r="C199" s="5">
        <v>0</v>
      </c>
      <c r="D199" s="5">
        <v>1</v>
      </c>
      <c r="E199" s="5">
        <v>225</v>
      </c>
      <c r="F199" s="5">
        <f>ROUND(Source!AV194,O199)</f>
        <v>16962.71</v>
      </c>
      <c r="G199" s="5" t="s">
        <v>71</v>
      </c>
      <c r="H199" s="5" t="s">
        <v>72</v>
      </c>
      <c r="I199" s="5"/>
      <c r="J199" s="5"/>
      <c r="K199" s="5">
        <v>225</v>
      </c>
      <c r="L199" s="5">
        <v>4</v>
      </c>
      <c r="M199" s="5">
        <v>3</v>
      </c>
      <c r="N199" s="5" t="s">
        <v>3</v>
      </c>
      <c r="O199" s="5">
        <v>2</v>
      </c>
      <c r="P199" s="5">
        <f>ROUND(Source!EN194,O199)</f>
        <v>112802.03</v>
      </c>
      <c r="Q199" s="5"/>
      <c r="R199" s="5"/>
      <c r="S199" s="5"/>
      <c r="T199" s="5"/>
      <c r="U199" s="5"/>
      <c r="V199" s="5"/>
      <c r="W199" s="5">
        <v>16962.71</v>
      </c>
      <c r="X199" s="5">
        <v>1</v>
      </c>
      <c r="Y199" s="5">
        <v>16962.71</v>
      </c>
      <c r="Z199" s="5">
        <v>112802.03</v>
      </c>
      <c r="AA199" s="5">
        <v>1</v>
      </c>
      <c r="AB199" s="5">
        <v>112802.03</v>
      </c>
    </row>
    <row r="200" spans="1:28" ht="12.75">
      <c r="A200" s="5">
        <v>50</v>
      </c>
      <c r="B200" s="5">
        <v>0</v>
      </c>
      <c r="C200" s="5">
        <v>0</v>
      </c>
      <c r="D200" s="5">
        <v>1</v>
      </c>
      <c r="E200" s="5">
        <v>226</v>
      </c>
      <c r="F200" s="5">
        <f>ROUND(Source!AW194,O200)</f>
        <v>16962.71</v>
      </c>
      <c r="G200" s="5" t="s">
        <v>73</v>
      </c>
      <c r="H200" s="5" t="s">
        <v>74</v>
      </c>
      <c r="I200" s="5"/>
      <c r="J200" s="5"/>
      <c r="K200" s="5">
        <v>226</v>
      </c>
      <c r="L200" s="5">
        <v>5</v>
      </c>
      <c r="M200" s="5">
        <v>3</v>
      </c>
      <c r="N200" s="5" t="s">
        <v>3</v>
      </c>
      <c r="O200" s="5">
        <v>2</v>
      </c>
      <c r="P200" s="5">
        <f>ROUND(Source!EO194,O200)</f>
        <v>112802.03</v>
      </c>
      <c r="Q200" s="5"/>
      <c r="R200" s="5"/>
      <c r="S200" s="5"/>
      <c r="T200" s="5"/>
      <c r="U200" s="5"/>
      <c r="V200" s="5"/>
      <c r="W200" s="5">
        <v>16962.71</v>
      </c>
      <c r="X200" s="5">
        <v>1</v>
      </c>
      <c r="Y200" s="5">
        <v>16962.71</v>
      </c>
      <c r="Z200" s="5">
        <v>112802.03</v>
      </c>
      <c r="AA200" s="5">
        <v>1</v>
      </c>
      <c r="AB200" s="5">
        <v>112802.03</v>
      </c>
    </row>
    <row r="201" spans="1:28" ht="12.75">
      <c r="A201" s="5">
        <v>50</v>
      </c>
      <c r="B201" s="5">
        <v>0</v>
      </c>
      <c r="C201" s="5">
        <v>0</v>
      </c>
      <c r="D201" s="5">
        <v>1</v>
      </c>
      <c r="E201" s="5">
        <v>227</v>
      </c>
      <c r="F201" s="5">
        <f>ROUND(Source!AX194,O201)</f>
        <v>0</v>
      </c>
      <c r="G201" s="5" t="s">
        <v>75</v>
      </c>
      <c r="H201" s="5" t="s">
        <v>76</v>
      </c>
      <c r="I201" s="5"/>
      <c r="J201" s="5"/>
      <c r="K201" s="5">
        <v>227</v>
      </c>
      <c r="L201" s="5">
        <v>6</v>
      </c>
      <c r="M201" s="5">
        <v>3</v>
      </c>
      <c r="N201" s="5" t="s">
        <v>3</v>
      </c>
      <c r="O201" s="5">
        <v>2</v>
      </c>
      <c r="P201" s="5">
        <f>ROUND(Source!EP194,O201)</f>
        <v>0</v>
      </c>
      <c r="Q201" s="5"/>
      <c r="R201" s="5"/>
      <c r="S201" s="5"/>
      <c r="T201" s="5"/>
      <c r="U201" s="5"/>
      <c r="V201" s="5"/>
      <c r="W201" s="5">
        <v>0</v>
      </c>
      <c r="X201" s="5">
        <v>1</v>
      </c>
      <c r="Y201" s="5">
        <v>0</v>
      </c>
      <c r="Z201" s="5">
        <v>0</v>
      </c>
      <c r="AA201" s="5">
        <v>1</v>
      </c>
      <c r="AB201" s="5">
        <v>0</v>
      </c>
    </row>
    <row r="202" spans="1:28" ht="12.75">
      <c r="A202" s="5">
        <v>50</v>
      </c>
      <c r="B202" s="5">
        <v>1</v>
      </c>
      <c r="C202" s="5">
        <v>0</v>
      </c>
      <c r="D202" s="5">
        <v>1</v>
      </c>
      <c r="E202" s="5">
        <v>228</v>
      </c>
      <c r="F202" s="5">
        <f>ROUND(Source!AY194,O202)</f>
        <v>16962.71</v>
      </c>
      <c r="G202" s="5" t="s">
        <v>77</v>
      </c>
      <c r="H202" s="5" t="s">
        <v>78</v>
      </c>
      <c r="I202" s="5"/>
      <c r="J202" s="5"/>
      <c r="K202" s="5">
        <v>228</v>
      </c>
      <c r="L202" s="5">
        <v>7</v>
      </c>
      <c r="M202" s="5">
        <v>0</v>
      </c>
      <c r="N202" s="5" t="s">
        <v>3</v>
      </c>
      <c r="O202" s="5">
        <v>2</v>
      </c>
      <c r="P202" s="5">
        <f>ROUND(Source!EQ194,O202)</f>
        <v>112802.03</v>
      </c>
      <c r="Q202" s="5"/>
      <c r="R202" s="5"/>
      <c r="S202" s="5"/>
      <c r="T202" s="5"/>
      <c r="U202" s="5"/>
      <c r="V202" s="5"/>
      <c r="W202" s="5">
        <v>16962.71</v>
      </c>
      <c r="X202" s="5">
        <v>1</v>
      </c>
      <c r="Y202" s="5">
        <v>16962.71</v>
      </c>
      <c r="Z202" s="5">
        <v>112802.03</v>
      </c>
      <c r="AA202" s="5">
        <v>1</v>
      </c>
      <c r="AB202" s="5">
        <v>112802.03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216</v>
      </c>
      <c r="F203" s="5">
        <f>ROUND(Source!AP194,O203)</f>
        <v>0</v>
      </c>
      <c r="G203" s="5" t="s">
        <v>79</v>
      </c>
      <c r="H203" s="5" t="s">
        <v>80</v>
      </c>
      <c r="I203" s="5"/>
      <c r="J203" s="5"/>
      <c r="K203" s="5">
        <v>216</v>
      </c>
      <c r="L203" s="5">
        <v>8</v>
      </c>
      <c r="M203" s="5">
        <v>3</v>
      </c>
      <c r="N203" s="5" t="s">
        <v>3</v>
      </c>
      <c r="O203" s="5">
        <v>2</v>
      </c>
      <c r="P203" s="5">
        <f>ROUND(Source!EH194,O203)</f>
        <v>0</v>
      </c>
      <c r="Q203" s="5"/>
      <c r="R203" s="5"/>
      <c r="S203" s="5"/>
      <c r="T203" s="5"/>
      <c r="U203" s="5"/>
      <c r="V203" s="5"/>
      <c r="W203" s="5">
        <v>0</v>
      </c>
      <c r="X203" s="5">
        <v>1</v>
      </c>
      <c r="Y203" s="5">
        <v>0</v>
      </c>
      <c r="Z203" s="5">
        <v>0</v>
      </c>
      <c r="AA203" s="5">
        <v>1</v>
      </c>
      <c r="AB203" s="5">
        <v>0</v>
      </c>
    </row>
    <row r="204" spans="1:28" ht="12.75">
      <c r="A204" s="5">
        <v>50</v>
      </c>
      <c r="B204" s="5">
        <v>0</v>
      </c>
      <c r="C204" s="5">
        <v>0</v>
      </c>
      <c r="D204" s="5">
        <v>1</v>
      </c>
      <c r="E204" s="5">
        <v>223</v>
      </c>
      <c r="F204" s="5">
        <f>ROUND(Source!AQ194,O204)</f>
        <v>0</v>
      </c>
      <c r="G204" s="5" t="s">
        <v>81</v>
      </c>
      <c r="H204" s="5" t="s">
        <v>82</v>
      </c>
      <c r="I204" s="5"/>
      <c r="J204" s="5"/>
      <c r="K204" s="5">
        <v>223</v>
      </c>
      <c r="L204" s="5">
        <v>9</v>
      </c>
      <c r="M204" s="5">
        <v>3</v>
      </c>
      <c r="N204" s="5" t="s">
        <v>3</v>
      </c>
      <c r="O204" s="5">
        <v>2</v>
      </c>
      <c r="P204" s="5">
        <f>ROUND(Source!EI194,O204)</f>
        <v>0</v>
      </c>
      <c r="Q204" s="5"/>
      <c r="R204" s="5"/>
      <c r="S204" s="5"/>
      <c r="T204" s="5"/>
      <c r="U204" s="5"/>
      <c r="V204" s="5"/>
      <c r="W204" s="5">
        <v>0</v>
      </c>
      <c r="X204" s="5">
        <v>1</v>
      </c>
      <c r="Y204" s="5">
        <v>0</v>
      </c>
      <c r="Z204" s="5">
        <v>0</v>
      </c>
      <c r="AA204" s="5">
        <v>1</v>
      </c>
      <c r="AB204" s="5">
        <v>0</v>
      </c>
    </row>
    <row r="205" spans="1:28" ht="12.75">
      <c r="A205" s="5">
        <v>50</v>
      </c>
      <c r="B205" s="5">
        <v>0</v>
      </c>
      <c r="C205" s="5">
        <v>0</v>
      </c>
      <c r="D205" s="5">
        <v>1</v>
      </c>
      <c r="E205" s="5">
        <v>229</v>
      </c>
      <c r="F205" s="5">
        <f>ROUND(Source!AZ194,O205)</f>
        <v>0</v>
      </c>
      <c r="G205" s="5" t="s">
        <v>83</v>
      </c>
      <c r="H205" s="5" t="s">
        <v>84</v>
      </c>
      <c r="I205" s="5"/>
      <c r="J205" s="5"/>
      <c r="K205" s="5">
        <v>229</v>
      </c>
      <c r="L205" s="5">
        <v>10</v>
      </c>
      <c r="M205" s="5">
        <v>3</v>
      </c>
      <c r="N205" s="5" t="s">
        <v>3</v>
      </c>
      <c r="O205" s="5">
        <v>2</v>
      </c>
      <c r="P205" s="5">
        <f>ROUND(Source!ER194,O205)</f>
        <v>0</v>
      </c>
      <c r="Q205" s="5"/>
      <c r="R205" s="5"/>
      <c r="S205" s="5"/>
      <c r="T205" s="5"/>
      <c r="U205" s="5"/>
      <c r="V205" s="5"/>
      <c r="W205" s="5">
        <v>0</v>
      </c>
      <c r="X205" s="5">
        <v>1</v>
      </c>
      <c r="Y205" s="5">
        <v>0</v>
      </c>
      <c r="Z205" s="5">
        <v>0</v>
      </c>
      <c r="AA205" s="5">
        <v>1</v>
      </c>
      <c r="AB205" s="5">
        <v>0</v>
      </c>
    </row>
    <row r="206" spans="1:28" ht="12.75">
      <c r="A206" s="5">
        <v>50</v>
      </c>
      <c r="B206" s="5">
        <v>0</v>
      </c>
      <c r="C206" s="5">
        <v>0</v>
      </c>
      <c r="D206" s="5">
        <v>1</v>
      </c>
      <c r="E206" s="5">
        <v>203</v>
      </c>
      <c r="F206" s="5">
        <f>ROUND(Source!Q194,O206)</f>
        <v>5644.3</v>
      </c>
      <c r="G206" s="5" t="s">
        <v>85</v>
      </c>
      <c r="H206" s="5" t="s">
        <v>86</v>
      </c>
      <c r="I206" s="5"/>
      <c r="J206" s="5"/>
      <c r="K206" s="5">
        <v>203</v>
      </c>
      <c r="L206" s="5">
        <v>11</v>
      </c>
      <c r="M206" s="5">
        <v>3</v>
      </c>
      <c r="N206" s="5" t="s">
        <v>3</v>
      </c>
      <c r="O206" s="5">
        <v>2</v>
      </c>
      <c r="P206" s="5">
        <f>ROUND(Source!DI194,O206)</f>
        <v>73884.16</v>
      </c>
      <c r="Q206" s="5"/>
      <c r="R206" s="5"/>
      <c r="S206" s="5"/>
      <c r="T206" s="5"/>
      <c r="U206" s="5"/>
      <c r="V206" s="5"/>
      <c r="W206" s="5">
        <v>5644.3</v>
      </c>
      <c r="X206" s="5">
        <v>1</v>
      </c>
      <c r="Y206" s="5">
        <v>5644.3</v>
      </c>
      <c r="Z206" s="5">
        <v>73884.15999999999</v>
      </c>
      <c r="AA206" s="5">
        <v>1</v>
      </c>
      <c r="AB206" s="5">
        <v>73884.15999999999</v>
      </c>
    </row>
    <row r="207" spans="1:28" ht="12.75">
      <c r="A207" s="5">
        <v>50</v>
      </c>
      <c r="B207" s="5">
        <v>0</v>
      </c>
      <c r="C207" s="5">
        <v>0</v>
      </c>
      <c r="D207" s="5">
        <v>1</v>
      </c>
      <c r="E207" s="5">
        <v>231</v>
      </c>
      <c r="F207" s="5">
        <f>ROUND(Source!BB194,O207)</f>
        <v>0</v>
      </c>
      <c r="G207" s="5" t="s">
        <v>87</v>
      </c>
      <c r="H207" s="5" t="s">
        <v>88</v>
      </c>
      <c r="I207" s="5"/>
      <c r="J207" s="5"/>
      <c r="K207" s="5">
        <v>231</v>
      </c>
      <c r="L207" s="5">
        <v>12</v>
      </c>
      <c r="M207" s="5">
        <v>3</v>
      </c>
      <c r="N207" s="5" t="s">
        <v>3</v>
      </c>
      <c r="O207" s="5">
        <v>2</v>
      </c>
      <c r="P207" s="5">
        <f>ROUND(Source!ET194,O207)</f>
        <v>0</v>
      </c>
      <c r="Q207" s="5"/>
      <c r="R207" s="5"/>
      <c r="S207" s="5"/>
      <c r="T207" s="5"/>
      <c r="U207" s="5"/>
      <c r="V207" s="5"/>
      <c r="W207" s="5">
        <v>0</v>
      </c>
      <c r="X207" s="5">
        <v>1</v>
      </c>
      <c r="Y207" s="5">
        <v>0</v>
      </c>
      <c r="Z207" s="5">
        <v>0</v>
      </c>
      <c r="AA207" s="5">
        <v>1</v>
      </c>
      <c r="AB207" s="5">
        <v>0</v>
      </c>
    </row>
    <row r="208" spans="1:28" ht="12.75">
      <c r="A208" s="5">
        <v>50</v>
      </c>
      <c r="B208" s="5">
        <v>0</v>
      </c>
      <c r="C208" s="5">
        <v>0</v>
      </c>
      <c r="D208" s="5">
        <v>1</v>
      </c>
      <c r="E208" s="5">
        <v>204</v>
      </c>
      <c r="F208" s="5">
        <f>ROUND(Source!R194,O208)</f>
        <v>317.98</v>
      </c>
      <c r="G208" s="5" t="s">
        <v>89</v>
      </c>
      <c r="H208" s="5" t="s">
        <v>90</v>
      </c>
      <c r="I208" s="5"/>
      <c r="J208" s="5"/>
      <c r="K208" s="5">
        <v>204</v>
      </c>
      <c r="L208" s="5">
        <v>13</v>
      </c>
      <c r="M208" s="5">
        <v>3</v>
      </c>
      <c r="N208" s="5" t="s">
        <v>3</v>
      </c>
      <c r="O208" s="5">
        <v>2</v>
      </c>
      <c r="P208" s="5">
        <f>ROUND(Source!DJ194,O208)</f>
        <v>11723.64</v>
      </c>
      <c r="Q208" s="5"/>
      <c r="R208" s="5"/>
      <c r="S208" s="5"/>
      <c r="T208" s="5"/>
      <c r="U208" s="5"/>
      <c r="V208" s="5"/>
      <c r="W208" s="5">
        <v>317.97999999999996</v>
      </c>
      <c r="X208" s="5">
        <v>1</v>
      </c>
      <c r="Y208" s="5">
        <v>317.97999999999996</v>
      </c>
      <c r="Z208" s="5">
        <v>11723.64</v>
      </c>
      <c r="AA208" s="5">
        <v>1</v>
      </c>
      <c r="AB208" s="5">
        <v>11723.64</v>
      </c>
    </row>
    <row r="209" spans="1:28" ht="12.75">
      <c r="A209" s="5">
        <v>50</v>
      </c>
      <c r="B209" s="5">
        <v>0</v>
      </c>
      <c r="C209" s="5">
        <v>0</v>
      </c>
      <c r="D209" s="5">
        <v>1</v>
      </c>
      <c r="E209" s="5">
        <v>205</v>
      </c>
      <c r="F209" s="5">
        <f>ROUND(Source!S194,O209)</f>
        <v>2399.21</v>
      </c>
      <c r="G209" s="5" t="s">
        <v>91</v>
      </c>
      <c r="H209" s="5" t="s">
        <v>92</v>
      </c>
      <c r="I209" s="5"/>
      <c r="J209" s="5"/>
      <c r="K209" s="5">
        <v>205</v>
      </c>
      <c r="L209" s="5">
        <v>14</v>
      </c>
      <c r="M209" s="5">
        <v>3</v>
      </c>
      <c r="N209" s="5" t="s">
        <v>3</v>
      </c>
      <c r="O209" s="5">
        <v>2</v>
      </c>
      <c r="P209" s="5">
        <f>ROUND(Source!DK194,O209)</f>
        <v>88458.97</v>
      </c>
      <c r="Q209" s="5"/>
      <c r="R209" s="5"/>
      <c r="S209" s="5"/>
      <c r="T209" s="5"/>
      <c r="U209" s="5"/>
      <c r="V209" s="5"/>
      <c r="W209" s="5">
        <v>2399.21</v>
      </c>
      <c r="X209" s="5">
        <v>1</v>
      </c>
      <c r="Y209" s="5">
        <v>2399.21</v>
      </c>
      <c r="Z209" s="5">
        <v>88458.97</v>
      </c>
      <c r="AA209" s="5">
        <v>1</v>
      </c>
      <c r="AB209" s="5">
        <v>88458.97</v>
      </c>
    </row>
    <row r="210" spans="1:28" ht="12.75">
      <c r="A210" s="5">
        <v>50</v>
      </c>
      <c r="B210" s="5">
        <v>0</v>
      </c>
      <c r="C210" s="5">
        <v>0</v>
      </c>
      <c r="D210" s="5">
        <v>1</v>
      </c>
      <c r="E210" s="5">
        <v>232</v>
      </c>
      <c r="F210" s="5">
        <f>ROUND(Source!BC194,O210)</f>
        <v>0</v>
      </c>
      <c r="G210" s="5" t="s">
        <v>93</v>
      </c>
      <c r="H210" s="5" t="s">
        <v>94</v>
      </c>
      <c r="I210" s="5"/>
      <c r="J210" s="5"/>
      <c r="K210" s="5">
        <v>232</v>
      </c>
      <c r="L210" s="5">
        <v>15</v>
      </c>
      <c r="M210" s="5">
        <v>3</v>
      </c>
      <c r="N210" s="5" t="s">
        <v>3</v>
      </c>
      <c r="O210" s="5">
        <v>2</v>
      </c>
      <c r="P210" s="5">
        <f>ROUND(Source!EU194,O210)</f>
        <v>0</v>
      </c>
      <c r="Q210" s="5"/>
      <c r="R210" s="5"/>
      <c r="S210" s="5"/>
      <c r="T210" s="5"/>
      <c r="U210" s="5"/>
      <c r="V210" s="5"/>
      <c r="W210" s="5">
        <v>0</v>
      </c>
      <c r="X210" s="5">
        <v>1</v>
      </c>
      <c r="Y210" s="5">
        <v>0</v>
      </c>
      <c r="Z210" s="5">
        <v>0</v>
      </c>
      <c r="AA210" s="5">
        <v>1</v>
      </c>
      <c r="AB210" s="5">
        <v>0</v>
      </c>
    </row>
    <row r="211" spans="1:28" ht="12.75">
      <c r="A211" s="5">
        <v>50</v>
      </c>
      <c r="B211" s="5">
        <v>0</v>
      </c>
      <c r="C211" s="5">
        <v>0</v>
      </c>
      <c r="D211" s="5">
        <v>1</v>
      </c>
      <c r="E211" s="5">
        <v>214</v>
      </c>
      <c r="F211" s="5">
        <f>ROUND(Source!AS194,O211)</f>
        <v>31630.34</v>
      </c>
      <c r="G211" s="5" t="s">
        <v>95</v>
      </c>
      <c r="H211" s="5" t="s">
        <v>96</v>
      </c>
      <c r="I211" s="5"/>
      <c r="J211" s="5"/>
      <c r="K211" s="5">
        <v>214</v>
      </c>
      <c r="L211" s="5">
        <v>16</v>
      </c>
      <c r="M211" s="5">
        <v>3</v>
      </c>
      <c r="N211" s="5" t="s">
        <v>3</v>
      </c>
      <c r="O211" s="5">
        <v>2</v>
      </c>
      <c r="P211" s="5">
        <f>ROUND(Source!EK194,O211)</f>
        <v>499991.89</v>
      </c>
      <c r="Q211" s="5"/>
      <c r="R211" s="5"/>
      <c r="S211" s="5"/>
      <c r="T211" s="5"/>
      <c r="U211" s="5"/>
      <c r="V211" s="5"/>
      <c r="W211" s="5">
        <v>31630.34</v>
      </c>
      <c r="X211" s="5">
        <v>1</v>
      </c>
      <c r="Y211" s="5">
        <v>31630.34</v>
      </c>
      <c r="Z211" s="5">
        <v>499991.89</v>
      </c>
      <c r="AA211" s="5">
        <v>1</v>
      </c>
      <c r="AB211" s="5">
        <v>499991.89</v>
      </c>
    </row>
    <row r="212" spans="1:28" ht="12.75">
      <c r="A212" s="5">
        <v>50</v>
      </c>
      <c r="B212" s="5">
        <v>0</v>
      </c>
      <c r="C212" s="5">
        <v>0</v>
      </c>
      <c r="D212" s="5">
        <v>1</v>
      </c>
      <c r="E212" s="5">
        <v>215</v>
      </c>
      <c r="F212" s="5">
        <f>ROUND(Source!AT194,O212)</f>
        <v>0</v>
      </c>
      <c r="G212" s="5" t="s">
        <v>97</v>
      </c>
      <c r="H212" s="5" t="s">
        <v>98</v>
      </c>
      <c r="I212" s="5"/>
      <c r="J212" s="5"/>
      <c r="K212" s="5">
        <v>215</v>
      </c>
      <c r="L212" s="5">
        <v>17</v>
      </c>
      <c r="M212" s="5">
        <v>3</v>
      </c>
      <c r="N212" s="5" t="s">
        <v>3</v>
      </c>
      <c r="O212" s="5">
        <v>2</v>
      </c>
      <c r="P212" s="5">
        <f>ROUND(Source!EL194,O212)</f>
        <v>0</v>
      </c>
      <c r="Q212" s="5"/>
      <c r="R212" s="5"/>
      <c r="S212" s="5"/>
      <c r="T212" s="5"/>
      <c r="U212" s="5"/>
      <c r="V212" s="5"/>
      <c r="W212" s="5">
        <v>0</v>
      </c>
      <c r="X212" s="5">
        <v>1</v>
      </c>
      <c r="Y212" s="5">
        <v>0</v>
      </c>
      <c r="Z212" s="5">
        <v>0</v>
      </c>
      <c r="AA212" s="5">
        <v>1</v>
      </c>
      <c r="AB212" s="5">
        <v>0</v>
      </c>
    </row>
    <row r="213" spans="1:28" ht="12.75">
      <c r="A213" s="5">
        <v>50</v>
      </c>
      <c r="B213" s="5">
        <v>0</v>
      </c>
      <c r="C213" s="5">
        <v>0</v>
      </c>
      <c r="D213" s="5">
        <v>1</v>
      </c>
      <c r="E213" s="5">
        <v>217</v>
      </c>
      <c r="F213" s="5">
        <f>ROUND(Source!AU194,O213)</f>
        <v>0</v>
      </c>
      <c r="G213" s="5" t="s">
        <v>99</v>
      </c>
      <c r="H213" s="5" t="s">
        <v>100</v>
      </c>
      <c r="I213" s="5"/>
      <c r="J213" s="5"/>
      <c r="K213" s="5">
        <v>217</v>
      </c>
      <c r="L213" s="5">
        <v>18</v>
      </c>
      <c r="M213" s="5">
        <v>3</v>
      </c>
      <c r="N213" s="5" t="s">
        <v>3</v>
      </c>
      <c r="O213" s="5">
        <v>2</v>
      </c>
      <c r="P213" s="5">
        <f>ROUND(Source!EM194,O213)</f>
        <v>0</v>
      </c>
      <c r="Q213" s="5"/>
      <c r="R213" s="5"/>
      <c r="S213" s="5"/>
      <c r="T213" s="5"/>
      <c r="U213" s="5"/>
      <c r="V213" s="5"/>
      <c r="W213" s="5">
        <v>0</v>
      </c>
      <c r="X213" s="5">
        <v>1</v>
      </c>
      <c r="Y213" s="5">
        <v>0</v>
      </c>
      <c r="Z213" s="5">
        <v>0</v>
      </c>
      <c r="AA213" s="5">
        <v>1</v>
      </c>
      <c r="AB213" s="5">
        <v>0</v>
      </c>
    </row>
    <row r="214" spans="1:28" ht="12.75">
      <c r="A214" s="5">
        <v>50</v>
      </c>
      <c r="B214" s="5">
        <v>0</v>
      </c>
      <c r="C214" s="5">
        <v>0</v>
      </c>
      <c r="D214" s="5">
        <v>1</v>
      </c>
      <c r="E214" s="5">
        <v>230</v>
      </c>
      <c r="F214" s="5">
        <f>ROUND(Source!BA194,O214)</f>
        <v>0</v>
      </c>
      <c r="G214" s="5" t="s">
        <v>101</v>
      </c>
      <c r="H214" s="5" t="s">
        <v>102</v>
      </c>
      <c r="I214" s="5"/>
      <c r="J214" s="5"/>
      <c r="K214" s="5">
        <v>230</v>
      </c>
      <c r="L214" s="5">
        <v>19</v>
      </c>
      <c r="M214" s="5">
        <v>3</v>
      </c>
      <c r="N214" s="5" t="s">
        <v>3</v>
      </c>
      <c r="O214" s="5">
        <v>2</v>
      </c>
      <c r="P214" s="5">
        <f>ROUND(Source!ES194,O214)</f>
        <v>0</v>
      </c>
      <c r="Q214" s="5"/>
      <c r="R214" s="5"/>
      <c r="S214" s="5"/>
      <c r="T214" s="5"/>
      <c r="U214" s="5"/>
      <c r="V214" s="5"/>
      <c r="W214" s="5">
        <v>0</v>
      </c>
      <c r="X214" s="5">
        <v>1</v>
      </c>
      <c r="Y214" s="5">
        <v>0</v>
      </c>
      <c r="Z214" s="5">
        <v>0</v>
      </c>
      <c r="AA214" s="5">
        <v>1</v>
      </c>
      <c r="AB214" s="5">
        <v>0</v>
      </c>
    </row>
    <row r="215" spans="1:28" ht="12.75">
      <c r="A215" s="5">
        <v>50</v>
      </c>
      <c r="B215" s="5">
        <v>0</v>
      </c>
      <c r="C215" s="5">
        <v>0</v>
      </c>
      <c r="D215" s="5">
        <v>1</v>
      </c>
      <c r="E215" s="5">
        <v>206</v>
      </c>
      <c r="F215" s="5">
        <f>ROUND(Source!T194,O215)</f>
        <v>0</v>
      </c>
      <c r="G215" s="5" t="s">
        <v>103</v>
      </c>
      <c r="H215" s="5" t="s">
        <v>104</v>
      </c>
      <c r="I215" s="5"/>
      <c r="J215" s="5"/>
      <c r="K215" s="5">
        <v>206</v>
      </c>
      <c r="L215" s="5">
        <v>20</v>
      </c>
      <c r="M215" s="5">
        <v>3</v>
      </c>
      <c r="N215" s="5" t="s">
        <v>3</v>
      </c>
      <c r="O215" s="5">
        <v>2</v>
      </c>
      <c r="P215" s="5">
        <f>ROUND(Source!DL194,O215)</f>
        <v>0</v>
      </c>
      <c r="Q215" s="5"/>
      <c r="R215" s="5"/>
      <c r="S215" s="5"/>
      <c r="T215" s="5"/>
      <c r="U215" s="5"/>
      <c r="V215" s="5"/>
      <c r="W215" s="5">
        <v>0</v>
      </c>
      <c r="X215" s="5">
        <v>1</v>
      </c>
      <c r="Y215" s="5">
        <v>0</v>
      </c>
      <c r="Z215" s="5">
        <v>0</v>
      </c>
      <c r="AA215" s="5">
        <v>1</v>
      </c>
      <c r="AB215" s="5">
        <v>0</v>
      </c>
    </row>
    <row r="216" spans="1:28" ht="12.75">
      <c r="A216" s="5">
        <v>50</v>
      </c>
      <c r="B216" s="5">
        <v>0</v>
      </c>
      <c r="C216" s="5">
        <v>0</v>
      </c>
      <c r="D216" s="5">
        <v>1</v>
      </c>
      <c r="E216" s="5">
        <v>207</v>
      </c>
      <c r="F216" s="5">
        <f>Source!U194</f>
        <v>284.15533000000005</v>
      </c>
      <c r="G216" s="5" t="s">
        <v>105</v>
      </c>
      <c r="H216" s="5" t="s">
        <v>106</v>
      </c>
      <c r="I216" s="5"/>
      <c r="J216" s="5"/>
      <c r="K216" s="5">
        <v>207</v>
      </c>
      <c r="L216" s="5">
        <v>21</v>
      </c>
      <c r="M216" s="5">
        <v>3</v>
      </c>
      <c r="N216" s="5" t="s">
        <v>3</v>
      </c>
      <c r="O216" s="5">
        <v>-1</v>
      </c>
      <c r="P216" s="5">
        <f>Source!DM194</f>
        <v>284.15533000000005</v>
      </c>
      <c r="Q216" s="5"/>
      <c r="R216" s="5"/>
      <c r="S216" s="5"/>
      <c r="T216" s="5"/>
      <c r="U216" s="5"/>
      <c r="V216" s="5"/>
      <c r="W216" s="5">
        <v>284.15533</v>
      </c>
      <c r="X216" s="5">
        <v>1</v>
      </c>
      <c r="Y216" s="5">
        <v>284.15533</v>
      </c>
      <c r="Z216" s="5">
        <v>284.15533</v>
      </c>
      <c r="AA216" s="5">
        <v>1</v>
      </c>
      <c r="AB216" s="5">
        <v>284.15533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208</v>
      </c>
      <c r="F217" s="5">
        <f>Source!V194</f>
        <v>29.8918125</v>
      </c>
      <c r="G217" s="5" t="s">
        <v>107</v>
      </c>
      <c r="H217" s="5" t="s">
        <v>108</v>
      </c>
      <c r="I217" s="5"/>
      <c r="J217" s="5"/>
      <c r="K217" s="5">
        <v>208</v>
      </c>
      <c r="L217" s="5">
        <v>22</v>
      </c>
      <c r="M217" s="5">
        <v>3</v>
      </c>
      <c r="N217" s="5" t="s">
        <v>3</v>
      </c>
      <c r="O217" s="5">
        <v>-1</v>
      </c>
      <c r="P217" s="5">
        <f>Source!DN194</f>
        <v>29.8918125</v>
      </c>
      <c r="Q217" s="5"/>
      <c r="R217" s="5"/>
      <c r="S217" s="5"/>
      <c r="T217" s="5"/>
      <c r="U217" s="5"/>
      <c r="V217" s="5"/>
      <c r="W217" s="5">
        <v>29.8918125</v>
      </c>
      <c r="X217" s="5">
        <v>1</v>
      </c>
      <c r="Y217" s="5">
        <v>29.8918125</v>
      </c>
      <c r="Z217" s="5">
        <v>29.8918125</v>
      </c>
      <c r="AA217" s="5">
        <v>1</v>
      </c>
      <c r="AB217" s="5">
        <v>29.8918125</v>
      </c>
    </row>
    <row r="218" spans="1:28" ht="12.75">
      <c r="A218" s="5">
        <v>50</v>
      </c>
      <c r="B218" s="5">
        <v>0</v>
      </c>
      <c r="C218" s="5">
        <v>0</v>
      </c>
      <c r="D218" s="5">
        <v>1</v>
      </c>
      <c r="E218" s="5">
        <v>209</v>
      </c>
      <c r="F218" s="5">
        <f>ROUND(Source!W194,O218)</f>
        <v>0</v>
      </c>
      <c r="G218" s="5" t="s">
        <v>109</v>
      </c>
      <c r="H218" s="5" t="s">
        <v>110</v>
      </c>
      <c r="I218" s="5"/>
      <c r="J218" s="5"/>
      <c r="K218" s="5">
        <v>209</v>
      </c>
      <c r="L218" s="5">
        <v>23</v>
      </c>
      <c r="M218" s="5">
        <v>3</v>
      </c>
      <c r="N218" s="5" t="s">
        <v>3</v>
      </c>
      <c r="O218" s="5">
        <v>2</v>
      </c>
      <c r="P218" s="5">
        <f>ROUND(Source!DO194,O218)</f>
        <v>0</v>
      </c>
      <c r="Q218" s="5"/>
      <c r="R218" s="5"/>
      <c r="S218" s="5"/>
      <c r="T218" s="5"/>
      <c r="U218" s="5"/>
      <c r="V218" s="5"/>
      <c r="W218" s="5">
        <v>0</v>
      </c>
      <c r="X218" s="5">
        <v>1</v>
      </c>
      <c r="Y218" s="5">
        <v>0</v>
      </c>
      <c r="Z218" s="5">
        <v>0</v>
      </c>
      <c r="AA218" s="5">
        <v>1</v>
      </c>
      <c r="AB218" s="5">
        <v>0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233</v>
      </c>
      <c r="F219" s="5">
        <f>ROUND(Source!BD194,O219)</f>
        <v>815.14</v>
      </c>
      <c r="G219" s="5" t="s">
        <v>111</v>
      </c>
      <c r="H219" s="5" t="s">
        <v>112</v>
      </c>
      <c r="I219" s="5"/>
      <c r="J219" s="5"/>
      <c r="K219" s="5">
        <v>233</v>
      </c>
      <c r="L219" s="5">
        <v>24</v>
      </c>
      <c r="M219" s="5">
        <v>3</v>
      </c>
      <c r="N219" s="5" t="s">
        <v>3</v>
      </c>
      <c r="O219" s="5">
        <v>2</v>
      </c>
      <c r="P219" s="5">
        <f>ROUND(Source!EV194,O219)</f>
        <v>10670.17</v>
      </c>
      <c r="Q219" s="5"/>
      <c r="R219" s="5"/>
      <c r="S219" s="5"/>
      <c r="T219" s="5"/>
      <c r="U219" s="5"/>
      <c r="V219" s="5"/>
      <c r="W219" s="5">
        <v>815.14</v>
      </c>
      <c r="X219" s="5">
        <v>1</v>
      </c>
      <c r="Y219" s="5">
        <v>815.14</v>
      </c>
      <c r="Z219" s="5">
        <v>10670.17</v>
      </c>
      <c r="AA219" s="5">
        <v>1</v>
      </c>
      <c r="AB219" s="5">
        <v>10670.17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210</v>
      </c>
      <c r="F220" s="5">
        <f>ROUND(Source!X194,O220)</f>
        <v>3298.67</v>
      </c>
      <c r="G220" s="5" t="s">
        <v>113</v>
      </c>
      <c r="H220" s="5" t="s">
        <v>114</v>
      </c>
      <c r="I220" s="5"/>
      <c r="J220" s="5"/>
      <c r="K220" s="5">
        <v>210</v>
      </c>
      <c r="L220" s="5">
        <v>25</v>
      </c>
      <c r="M220" s="5">
        <v>3</v>
      </c>
      <c r="N220" s="5" t="s">
        <v>3</v>
      </c>
      <c r="O220" s="5">
        <v>2</v>
      </c>
      <c r="P220" s="5">
        <f>ROUND(Source!DP194,O220)</f>
        <v>121621.63</v>
      </c>
      <c r="Q220" s="5"/>
      <c r="R220" s="5"/>
      <c r="S220" s="5"/>
      <c r="T220" s="5"/>
      <c r="U220" s="5"/>
      <c r="V220" s="5"/>
      <c r="W220" s="5">
        <v>3298.67</v>
      </c>
      <c r="X220" s="5">
        <v>1</v>
      </c>
      <c r="Y220" s="5">
        <v>3298.67</v>
      </c>
      <c r="Z220" s="5">
        <v>121621.63</v>
      </c>
      <c r="AA220" s="5">
        <v>1</v>
      </c>
      <c r="AB220" s="5">
        <v>121621.63</v>
      </c>
    </row>
    <row r="221" spans="1:28" ht="12.75">
      <c r="A221" s="5">
        <v>50</v>
      </c>
      <c r="B221" s="5">
        <v>0</v>
      </c>
      <c r="C221" s="5">
        <v>0</v>
      </c>
      <c r="D221" s="5">
        <v>1</v>
      </c>
      <c r="E221" s="5">
        <v>211</v>
      </c>
      <c r="F221" s="5">
        <f>ROUND(Source!Y194,O221)</f>
        <v>2510.31</v>
      </c>
      <c r="G221" s="5" t="s">
        <v>115</v>
      </c>
      <c r="H221" s="5" t="s">
        <v>116</v>
      </c>
      <c r="I221" s="5"/>
      <c r="J221" s="5"/>
      <c r="K221" s="5">
        <v>211</v>
      </c>
      <c r="L221" s="5">
        <v>26</v>
      </c>
      <c r="M221" s="5">
        <v>3</v>
      </c>
      <c r="N221" s="5" t="s">
        <v>3</v>
      </c>
      <c r="O221" s="5">
        <v>2</v>
      </c>
      <c r="P221" s="5">
        <f>ROUND(Source!DQ194,O221)</f>
        <v>92554.93</v>
      </c>
      <c r="Q221" s="5"/>
      <c r="R221" s="5"/>
      <c r="S221" s="5"/>
      <c r="T221" s="5"/>
      <c r="U221" s="5"/>
      <c r="V221" s="5"/>
      <c r="W221" s="5">
        <v>2510.31</v>
      </c>
      <c r="X221" s="5">
        <v>1</v>
      </c>
      <c r="Y221" s="5">
        <v>2510.31</v>
      </c>
      <c r="Z221" s="5">
        <v>92554.93</v>
      </c>
      <c r="AA221" s="5">
        <v>1</v>
      </c>
      <c r="AB221" s="5">
        <v>92554.93</v>
      </c>
    </row>
    <row r="222" spans="1:28" ht="12.75">
      <c r="A222" s="5">
        <v>50</v>
      </c>
      <c r="B222" s="5">
        <v>0</v>
      </c>
      <c r="C222" s="5">
        <v>0</v>
      </c>
      <c r="D222" s="5">
        <v>1</v>
      </c>
      <c r="E222" s="5">
        <v>0</v>
      </c>
      <c r="F222" s="5">
        <f>ROUND(Source!AR194,O222)</f>
        <v>31630.34</v>
      </c>
      <c r="G222" s="5" t="s">
        <v>117</v>
      </c>
      <c r="H222" s="5" t="s">
        <v>118</v>
      </c>
      <c r="I222" s="5"/>
      <c r="J222" s="5"/>
      <c r="K222" s="5">
        <v>224</v>
      </c>
      <c r="L222" s="5">
        <v>27</v>
      </c>
      <c r="M222" s="5">
        <v>3</v>
      </c>
      <c r="N222" s="5" t="s">
        <v>3</v>
      </c>
      <c r="O222" s="5">
        <v>2</v>
      </c>
      <c r="P222" s="5">
        <f>ROUND(Source!EJ194,O222)</f>
        <v>499991.89</v>
      </c>
      <c r="Q222" s="5"/>
      <c r="R222" s="5"/>
      <c r="S222" s="5"/>
      <c r="T222" s="5"/>
      <c r="U222" s="5"/>
      <c r="V222" s="5"/>
      <c r="W222" s="5">
        <v>31630.34</v>
      </c>
      <c r="X222" s="5">
        <v>1</v>
      </c>
      <c r="Y222" s="5">
        <v>31630.34</v>
      </c>
      <c r="Z222" s="5">
        <v>499991.89</v>
      </c>
      <c r="AA222" s="5">
        <v>1</v>
      </c>
      <c r="AB222" s="5">
        <v>499991.89</v>
      </c>
    </row>
    <row r="223" spans="1:28" ht="12.75">
      <c r="A223" s="5">
        <v>50</v>
      </c>
      <c r="B223" s="5">
        <v>1</v>
      </c>
      <c r="C223" s="5">
        <v>0</v>
      </c>
      <c r="D223" s="5">
        <v>2</v>
      </c>
      <c r="E223" s="5">
        <v>0</v>
      </c>
      <c r="F223" s="5">
        <f>ROUND(F200,O223)</f>
        <v>16962.71</v>
      </c>
      <c r="G223" s="5" t="s">
        <v>165</v>
      </c>
      <c r="H223" s="5" t="s">
        <v>165</v>
      </c>
      <c r="I223" s="5"/>
      <c r="J223" s="5"/>
      <c r="K223" s="5">
        <v>212</v>
      </c>
      <c r="L223" s="5">
        <v>28</v>
      </c>
      <c r="M223" s="5">
        <v>0</v>
      </c>
      <c r="N223" s="5" t="s">
        <v>3</v>
      </c>
      <c r="O223" s="5">
        <v>2</v>
      </c>
      <c r="P223" s="5">
        <f>ROUND(P200,O223)</f>
        <v>112802.03</v>
      </c>
      <c r="Q223" s="5"/>
      <c r="R223" s="5"/>
      <c r="S223" s="5"/>
      <c r="T223" s="5"/>
      <c r="U223" s="5"/>
      <c r="V223" s="5"/>
      <c r="W223" s="5">
        <v>16962.71</v>
      </c>
      <c r="X223" s="5">
        <v>1</v>
      </c>
      <c r="Y223" s="5">
        <v>16962.71</v>
      </c>
      <c r="Z223" s="5">
        <v>112802.03</v>
      </c>
      <c r="AA223" s="5">
        <v>1</v>
      </c>
      <c r="AB223" s="5">
        <v>112802.03</v>
      </c>
    </row>
    <row r="224" spans="1:28" ht="12.75">
      <c r="A224" s="5">
        <v>50</v>
      </c>
      <c r="B224" s="5">
        <v>1</v>
      </c>
      <c r="C224" s="5">
        <v>0</v>
      </c>
      <c r="D224" s="5">
        <v>2</v>
      </c>
      <c r="E224" s="5">
        <v>0</v>
      </c>
      <c r="F224" s="5">
        <f>ROUND(F222,O224)</f>
        <v>31630.34</v>
      </c>
      <c r="G224" s="5" t="s">
        <v>169</v>
      </c>
      <c r="H224" s="5" t="s">
        <v>117</v>
      </c>
      <c r="I224" s="5"/>
      <c r="J224" s="5"/>
      <c r="K224" s="5">
        <v>212</v>
      </c>
      <c r="L224" s="5">
        <v>29</v>
      </c>
      <c r="M224" s="5">
        <v>0</v>
      </c>
      <c r="N224" s="5" t="s">
        <v>3</v>
      </c>
      <c r="O224" s="5">
        <v>2</v>
      </c>
      <c r="P224" s="5">
        <f>ROUND(P222,O224)</f>
        <v>499991.89</v>
      </c>
      <c r="Q224" s="5"/>
      <c r="R224" s="5"/>
      <c r="S224" s="5"/>
      <c r="T224" s="5"/>
      <c r="U224" s="5"/>
      <c r="V224" s="5"/>
      <c r="W224" s="5">
        <v>31630.34</v>
      </c>
      <c r="X224" s="5">
        <v>1</v>
      </c>
      <c r="Y224" s="5">
        <v>31630.34</v>
      </c>
      <c r="Z224" s="5">
        <v>499991.89</v>
      </c>
      <c r="AA224" s="5">
        <v>1</v>
      </c>
      <c r="AB224" s="5">
        <v>499991.89</v>
      </c>
    </row>
    <row r="225" spans="1:28" ht="12.75">
      <c r="A225" s="5">
        <v>50</v>
      </c>
      <c r="B225" s="5">
        <v>1</v>
      </c>
      <c r="C225" s="5">
        <v>0</v>
      </c>
      <c r="D225" s="5">
        <v>2</v>
      </c>
      <c r="E225" s="5">
        <v>0</v>
      </c>
      <c r="F225" s="5">
        <f>ROUND(F224*0.2,O225)</f>
        <v>6326.07</v>
      </c>
      <c r="G225" s="5" t="s">
        <v>170</v>
      </c>
      <c r="H225" s="5" t="s">
        <v>167</v>
      </c>
      <c r="I225" s="5"/>
      <c r="J225" s="5"/>
      <c r="K225" s="5">
        <v>212</v>
      </c>
      <c r="L225" s="5">
        <v>32</v>
      </c>
      <c r="M225" s="5">
        <v>0</v>
      </c>
      <c r="N225" s="5" t="s">
        <v>3</v>
      </c>
      <c r="O225" s="5">
        <v>2</v>
      </c>
      <c r="P225" s="5">
        <f>ROUND(P224*0.2,O225)</f>
        <v>99998.38</v>
      </c>
      <c r="Q225" s="5"/>
      <c r="R225" s="5"/>
      <c r="S225" s="5"/>
      <c r="T225" s="5"/>
      <c r="U225" s="5"/>
      <c r="V225" s="5"/>
      <c r="W225" s="5">
        <v>6326.07</v>
      </c>
      <c r="X225" s="5">
        <v>1</v>
      </c>
      <c r="Y225" s="5">
        <v>6326.07</v>
      </c>
      <c r="Z225" s="5">
        <v>99998.38</v>
      </c>
      <c r="AA225" s="5">
        <v>1</v>
      </c>
      <c r="AB225" s="5">
        <v>99998.38</v>
      </c>
    </row>
    <row r="226" spans="1:28" ht="12.75">
      <c r="A226" s="5">
        <v>50</v>
      </c>
      <c r="B226" s="5">
        <v>1</v>
      </c>
      <c r="C226" s="5">
        <v>0</v>
      </c>
      <c r="D226" s="5">
        <v>2</v>
      </c>
      <c r="E226" s="5">
        <v>224</v>
      </c>
      <c r="F226" s="5">
        <f>ROUND(F224+F225,O226)</f>
        <v>37956.41</v>
      </c>
      <c r="G226" s="5" t="s">
        <v>171</v>
      </c>
      <c r="H226" s="5" t="s">
        <v>168</v>
      </c>
      <c r="I226" s="5"/>
      <c r="J226" s="5"/>
      <c r="K226" s="5">
        <v>212</v>
      </c>
      <c r="L226" s="5">
        <v>33</v>
      </c>
      <c r="M226" s="5">
        <v>0</v>
      </c>
      <c r="N226" s="5" t="s">
        <v>3</v>
      </c>
      <c r="O226" s="5">
        <v>2</v>
      </c>
      <c r="P226" s="5">
        <f>ROUND(P224+P225,O226)</f>
        <v>599990.27</v>
      </c>
      <c r="Q226" s="5"/>
      <c r="R226" s="5"/>
      <c r="S226" s="5"/>
      <c r="T226" s="5"/>
      <c r="U226" s="5"/>
      <c r="V226" s="5"/>
      <c r="W226" s="5">
        <v>37956.41</v>
      </c>
      <c r="X226" s="5">
        <v>1</v>
      </c>
      <c r="Y226" s="5">
        <v>37956.41</v>
      </c>
      <c r="Z226" s="5">
        <v>599990.27</v>
      </c>
      <c r="AA226" s="5">
        <v>1</v>
      </c>
      <c r="AB226" s="5">
        <v>599990.27</v>
      </c>
    </row>
    <row r="228" spans="1:8" ht="12.75">
      <c r="A228" s="6">
        <v>61</v>
      </c>
      <c r="B228" s="6"/>
      <c r="C228" s="6"/>
      <c r="D228" s="6"/>
      <c r="E228" s="6"/>
      <c r="F228" s="6">
        <v>3</v>
      </c>
      <c r="G228" s="6" t="s">
        <v>172</v>
      </c>
      <c r="H228" s="6" t="s">
        <v>173</v>
      </c>
    </row>
    <row r="229" spans="1:8" ht="12.75">
      <c r="A229" s="6">
        <v>61</v>
      </c>
      <c r="B229" s="6"/>
      <c r="C229" s="6"/>
      <c r="D229" s="6"/>
      <c r="E229" s="6"/>
      <c r="F229" s="6">
        <v>2</v>
      </c>
      <c r="G229" s="6" t="s">
        <v>174</v>
      </c>
      <c r="H229" s="6" t="s">
        <v>173</v>
      </c>
    </row>
    <row r="230" spans="1:8" ht="12.75">
      <c r="A230" s="6">
        <v>61</v>
      </c>
      <c r="B230" s="6"/>
      <c r="C230" s="6"/>
      <c r="D230" s="6"/>
      <c r="E230" s="6"/>
      <c r="F230" s="6">
        <v>1</v>
      </c>
      <c r="G230" s="6" t="s">
        <v>175</v>
      </c>
      <c r="H230" s="6" t="s">
        <v>173</v>
      </c>
    </row>
    <row r="233" spans="1:16" ht="12.75">
      <c r="A233">
        <v>70</v>
      </c>
      <c r="B233">
        <v>1</v>
      </c>
      <c r="D233">
        <v>1</v>
      </c>
      <c r="E233" t="s">
        <v>176</v>
      </c>
      <c r="F233" t="s">
        <v>177</v>
      </c>
      <c r="G233">
        <v>0</v>
      </c>
      <c r="H233">
        <v>0</v>
      </c>
      <c r="J233">
        <v>1</v>
      </c>
      <c r="K233">
        <v>0</v>
      </c>
      <c r="N233">
        <v>0</v>
      </c>
      <c r="O233">
        <v>0</v>
      </c>
      <c r="P233" t="s">
        <v>178</v>
      </c>
    </row>
    <row r="234" spans="1:16" ht="12.75">
      <c r="A234">
        <v>70</v>
      </c>
      <c r="B234">
        <v>1</v>
      </c>
      <c r="D234">
        <v>2</v>
      </c>
      <c r="E234" t="s">
        <v>179</v>
      </c>
      <c r="F234" t="s">
        <v>180</v>
      </c>
      <c r="G234">
        <v>1</v>
      </c>
      <c r="H234">
        <v>0</v>
      </c>
      <c r="J234">
        <v>1</v>
      </c>
      <c r="K234">
        <v>0</v>
      </c>
      <c r="N234">
        <v>0</v>
      </c>
      <c r="O234">
        <v>1</v>
      </c>
      <c r="P234" t="s">
        <v>181</v>
      </c>
    </row>
    <row r="235" spans="1:16" ht="12.75">
      <c r="A235">
        <v>70</v>
      </c>
      <c r="B235">
        <v>1</v>
      </c>
      <c r="D235">
        <v>3</v>
      </c>
      <c r="E235" t="s">
        <v>182</v>
      </c>
      <c r="F235" t="s">
        <v>183</v>
      </c>
      <c r="G235">
        <v>0</v>
      </c>
      <c r="H235">
        <v>0</v>
      </c>
      <c r="J235">
        <v>1</v>
      </c>
      <c r="K235">
        <v>0</v>
      </c>
      <c r="N235">
        <v>0</v>
      </c>
      <c r="O235">
        <v>0</v>
      </c>
      <c r="P235" t="s">
        <v>184</v>
      </c>
    </row>
    <row r="236" spans="1:16" ht="12.75">
      <c r="A236">
        <v>70</v>
      </c>
      <c r="B236">
        <v>1</v>
      </c>
      <c r="D236">
        <v>4</v>
      </c>
      <c r="E236" t="s">
        <v>185</v>
      </c>
      <c r="F236" t="s">
        <v>186</v>
      </c>
      <c r="G236">
        <v>1</v>
      </c>
      <c r="H236">
        <v>0</v>
      </c>
      <c r="J236">
        <v>2</v>
      </c>
      <c r="K236">
        <v>0</v>
      </c>
      <c r="N236">
        <v>0</v>
      </c>
      <c r="O236">
        <v>1</v>
      </c>
    </row>
    <row r="237" spans="1:16" ht="12.75">
      <c r="A237">
        <v>70</v>
      </c>
      <c r="B237">
        <v>1</v>
      </c>
      <c r="D237">
        <v>5</v>
      </c>
      <c r="E237" t="s">
        <v>187</v>
      </c>
      <c r="F237" t="s">
        <v>188</v>
      </c>
      <c r="G237">
        <v>0</v>
      </c>
      <c r="H237">
        <v>0</v>
      </c>
      <c r="J237">
        <v>2</v>
      </c>
      <c r="K237">
        <v>0</v>
      </c>
      <c r="N237">
        <v>0</v>
      </c>
      <c r="O237">
        <v>0</v>
      </c>
    </row>
    <row r="238" spans="1:16" ht="12.75">
      <c r="A238">
        <v>70</v>
      </c>
      <c r="B238">
        <v>1</v>
      </c>
      <c r="D238">
        <v>6</v>
      </c>
      <c r="E238" t="s">
        <v>189</v>
      </c>
      <c r="F238" t="s">
        <v>190</v>
      </c>
      <c r="G238">
        <v>0</v>
      </c>
      <c r="H238">
        <v>0</v>
      </c>
      <c r="J238">
        <v>2</v>
      </c>
      <c r="K238">
        <v>0</v>
      </c>
      <c r="N238">
        <v>0</v>
      </c>
      <c r="O238">
        <v>0</v>
      </c>
    </row>
    <row r="239" spans="1:16" ht="12.75">
      <c r="A239">
        <v>70</v>
      </c>
      <c r="B239">
        <v>1</v>
      </c>
      <c r="D239">
        <v>7</v>
      </c>
      <c r="E239" t="s">
        <v>191</v>
      </c>
      <c r="F239" t="s">
        <v>192</v>
      </c>
      <c r="G239">
        <v>0</v>
      </c>
      <c r="H239">
        <v>0</v>
      </c>
      <c r="I239" t="s">
        <v>193</v>
      </c>
      <c r="J239">
        <v>0</v>
      </c>
      <c r="K239">
        <v>0</v>
      </c>
      <c r="N239">
        <v>0</v>
      </c>
      <c r="O239">
        <v>0</v>
      </c>
      <c r="P239" t="s">
        <v>194</v>
      </c>
    </row>
    <row r="240" spans="1:16" ht="12.75">
      <c r="A240">
        <v>70</v>
      </c>
      <c r="B240">
        <v>1</v>
      </c>
      <c r="D240">
        <v>8</v>
      </c>
      <c r="E240" t="s">
        <v>195</v>
      </c>
      <c r="F240" t="s">
        <v>196</v>
      </c>
      <c r="G240">
        <v>1</v>
      </c>
      <c r="H240">
        <v>0</v>
      </c>
      <c r="J240">
        <v>5</v>
      </c>
      <c r="K240">
        <v>0</v>
      </c>
      <c r="N240">
        <v>0</v>
      </c>
      <c r="O240">
        <v>1</v>
      </c>
    </row>
    <row r="241" spans="1:16" ht="12.75">
      <c r="A241">
        <v>70</v>
      </c>
      <c r="B241">
        <v>1</v>
      </c>
      <c r="D241">
        <v>9</v>
      </c>
      <c r="E241" t="s">
        <v>197</v>
      </c>
      <c r="F241" t="s">
        <v>198</v>
      </c>
      <c r="G241">
        <v>0</v>
      </c>
      <c r="H241">
        <v>0</v>
      </c>
      <c r="J241">
        <v>5</v>
      </c>
      <c r="K241">
        <v>0</v>
      </c>
      <c r="N241">
        <v>0</v>
      </c>
      <c r="O241">
        <v>0</v>
      </c>
    </row>
    <row r="242" spans="1:16" ht="12.75">
      <c r="A242">
        <v>70</v>
      </c>
      <c r="B242">
        <v>1</v>
      </c>
      <c r="D242">
        <v>10</v>
      </c>
      <c r="E242" t="s">
        <v>199</v>
      </c>
      <c r="F242" t="s">
        <v>200</v>
      </c>
      <c r="G242">
        <v>0</v>
      </c>
      <c r="H242">
        <v>0</v>
      </c>
      <c r="I242" t="s">
        <v>201</v>
      </c>
      <c r="J242">
        <v>5</v>
      </c>
      <c r="K242">
        <v>0</v>
      </c>
      <c r="N242">
        <v>0</v>
      </c>
      <c r="O242">
        <v>0</v>
      </c>
      <c r="P242" t="s">
        <v>202</v>
      </c>
    </row>
    <row r="243" spans="1:16" ht="12.75">
      <c r="A243">
        <v>70</v>
      </c>
      <c r="B243">
        <v>1</v>
      </c>
      <c r="D243">
        <v>11</v>
      </c>
      <c r="E243" t="s">
        <v>203</v>
      </c>
      <c r="F243" t="s">
        <v>204</v>
      </c>
      <c r="G243">
        <v>0</v>
      </c>
      <c r="H243">
        <v>0</v>
      </c>
      <c r="I243" t="s">
        <v>205</v>
      </c>
      <c r="J243">
        <v>0</v>
      </c>
      <c r="K243">
        <v>0</v>
      </c>
      <c r="N243">
        <v>0</v>
      </c>
      <c r="O243">
        <v>0</v>
      </c>
      <c r="P243" t="s">
        <v>206</v>
      </c>
    </row>
    <row r="244" spans="1:16" ht="12.75">
      <c r="A244">
        <v>70</v>
      </c>
      <c r="B244">
        <v>1</v>
      </c>
      <c r="D244">
        <v>12</v>
      </c>
      <c r="E244" t="s">
        <v>207</v>
      </c>
      <c r="F244" t="s">
        <v>208</v>
      </c>
      <c r="G244">
        <v>0</v>
      </c>
      <c r="H244">
        <v>0</v>
      </c>
      <c r="I244" t="s">
        <v>209</v>
      </c>
      <c r="J244">
        <v>0</v>
      </c>
      <c r="K244">
        <v>0</v>
      </c>
      <c r="N244">
        <v>0</v>
      </c>
      <c r="O244">
        <v>0</v>
      </c>
      <c r="P244" t="s">
        <v>210</v>
      </c>
    </row>
    <row r="245" spans="1:16" ht="12.75">
      <c r="A245">
        <v>70</v>
      </c>
      <c r="B245">
        <v>1</v>
      </c>
      <c r="D245">
        <v>13</v>
      </c>
      <c r="E245" t="s">
        <v>211</v>
      </c>
      <c r="F245" t="s">
        <v>212</v>
      </c>
      <c r="G245">
        <v>0</v>
      </c>
      <c r="H245">
        <v>0</v>
      </c>
      <c r="I245" t="s">
        <v>213</v>
      </c>
      <c r="J245">
        <v>0</v>
      </c>
      <c r="K245">
        <v>0</v>
      </c>
      <c r="N245">
        <v>0</v>
      </c>
      <c r="O245">
        <v>0</v>
      </c>
      <c r="P245" t="s">
        <v>214</v>
      </c>
    </row>
    <row r="246" spans="1:16" ht="12.75">
      <c r="A246">
        <v>70</v>
      </c>
      <c r="B246">
        <v>1</v>
      </c>
      <c r="D246">
        <v>14</v>
      </c>
      <c r="E246" t="s">
        <v>215</v>
      </c>
      <c r="F246" t="s">
        <v>216</v>
      </c>
      <c r="G246">
        <v>0</v>
      </c>
      <c r="H246">
        <v>0</v>
      </c>
      <c r="J246">
        <v>0</v>
      </c>
      <c r="K246">
        <v>0</v>
      </c>
      <c r="N246">
        <v>0</v>
      </c>
      <c r="O246">
        <v>0</v>
      </c>
      <c r="P246" t="s">
        <v>217</v>
      </c>
    </row>
    <row r="247" spans="1:16" ht="12.75">
      <c r="A247">
        <v>70</v>
      </c>
      <c r="B247">
        <v>1</v>
      </c>
      <c r="D247">
        <v>15</v>
      </c>
      <c r="E247" t="s">
        <v>218</v>
      </c>
      <c r="F247" t="s">
        <v>219</v>
      </c>
      <c r="G247">
        <v>0</v>
      </c>
      <c r="H247">
        <v>0</v>
      </c>
      <c r="J247">
        <v>3</v>
      </c>
      <c r="K247">
        <v>0</v>
      </c>
      <c r="N247">
        <v>0</v>
      </c>
      <c r="O247">
        <v>0</v>
      </c>
    </row>
    <row r="248" spans="1:16" ht="12.75">
      <c r="A248">
        <v>70</v>
      </c>
      <c r="B248">
        <v>1</v>
      </c>
      <c r="D248">
        <v>16</v>
      </c>
      <c r="E248" t="s">
        <v>220</v>
      </c>
      <c r="F248" t="s">
        <v>221</v>
      </c>
      <c r="G248">
        <v>1</v>
      </c>
      <c r="H248">
        <v>0</v>
      </c>
      <c r="J248">
        <v>3</v>
      </c>
      <c r="K248">
        <v>0</v>
      </c>
      <c r="N248">
        <v>0</v>
      </c>
      <c r="O248">
        <v>1</v>
      </c>
    </row>
    <row r="249" spans="1:16" ht="12.75">
      <c r="A249">
        <v>70</v>
      </c>
      <c r="B249">
        <v>1</v>
      </c>
      <c r="D249">
        <v>1</v>
      </c>
      <c r="E249" t="s">
        <v>222</v>
      </c>
      <c r="F249" t="s">
        <v>223</v>
      </c>
      <c r="G249">
        <v>0.9</v>
      </c>
      <c r="H249">
        <v>1</v>
      </c>
      <c r="I249" t="s">
        <v>224</v>
      </c>
      <c r="J249">
        <v>0</v>
      </c>
      <c r="K249">
        <v>0</v>
      </c>
      <c r="N249">
        <v>0</v>
      </c>
      <c r="O249">
        <v>0.9</v>
      </c>
      <c r="P249" t="s">
        <v>225</v>
      </c>
    </row>
    <row r="250" spans="1:16" ht="12.75">
      <c r="A250">
        <v>70</v>
      </c>
      <c r="B250">
        <v>1</v>
      </c>
      <c r="D250">
        <v>2</v>
      </c>
      <c r="E250" t="s">
        <v>226</v>
      </c>
      <c r="F250" t="s">
        <v>227</v>
      </c>
      <c r="G250">
        <v>0.85</v>
      </c>
      <c r="H250">
        <v>1</v>
      </c>
      <c r="I250" t="s">
        <v>228</v>
      </c>
      <c r="J250">
        <v>0</v>
      </c>
      <c r="K250">
        <v>0</v>
      </c>
      <c r="N250">
        <v>0</v>
      </c>
      <c r="O250">
        <v>0.85</v>
      </c>
      <c r="P250" t="s">
        <v>229</v>
      </c>
    </row>
    <row r="251" spans="1:16" ht="12.75">
      <c r="A251">
        <v>70</v>
      </c>
      <c r="B251">
        <v>1</v>
      </c>
      <c r="D251">
        <v>3</v>
      </c>
      <c r="E251" t="s">
        <v>230</v>
      </c>
      <c r="F251" t="s">
        <v>231</v>
      </c>
      <c r="G251">
        <v>1.03</v>
      </c>
      <c r="H251">
        <v>0</v>
      </c>
      <c r="J251">
        <v>0</v>
      </c>
      <c r="K251">
        <v>0</v>
      </c>
      <c r="N251">
        <v>0</v>
      </c>
      <c r="O251">
        <v>1.03</v>
      </c>
      <c r="P251" t="s">
        <v>232</v>
      </c>
    </row>
    <row r="252" spans="1:16" ht="12.75">
      <c r="A252">
        <v>70</v>
      </c>
      <c r="B252">
        <v>1</v>
      </c>
      <c r="D252">
        <v>4</v>
      </c>
      <c r="E252" t="s">
        <v>233</v>
      </c>
      <c r="F252" t="s">
        <v>234</v>
      </c>
      <c r="G252">
        <v>1.15</v>
      </c>
      <c r="H252">
        <v>0</v>
      </c>
      <c r="J252">
        <v>0</v>
      </c>
      <c r="K252">
        <v>0</v>
      </c>
      <c r="N252">
        <v>0</v>
      </c>
      <c r="O252">
        <v>1.15</v>
      </c>
      <c r="P252" t="s">
        <v>235</v>
      </c>
    </row>
    <row r="253" spans="1:16" ht="12.75">
      <c r="A253">
        <v>70</v>
      </c>
      <c r="B253">
        <v>1</v>
      </c>
      <c r="D253">
        <v>5</v>
      </c>
      <c r="E253" t="s">
        <v>236</v>
      </c>
      <c r="F253" t="s">
        <v>237</v>
      </c>
      <c r="G253">
        <v>7</v>
      </c>
      <c r="H253">
        <v>0</v>
      </c>
      <c r="J253">
        <v>0</v>
      </c>
      <c r="K253">
        <v>0</v>
      </c>
      <c r="N253">
        <v>0</v>
      </c>
      <c r="O253">
        <v>7</v>
      </c>
    </row>
    <row r="254" spans="1:16" ht="12.75">
      <c r="A254">
        <v>70</v>
      </c>
      <c r="B254">
        <v>1</v>
      </c>
      <c r="D254">
        <v>6</v>
      </c>
      <c r="E254" t="s">
        <v>238</v>
      </c>
      <c r="G254">
        <v>2</v>
      </c>
      <c r="H254">
        <v>0</v>
      </c>
      <c r="J254">
        <v>0</v>
      </c>
      <c r="K254">
        <v>0</v>
      </c>
      <c r="N254">
        <v>0</v>
      </c>
      <c r="O254">
        <v>2</v>
      </c>
    </row>
    <row r="256" ht="12.75">
      <c r="A256">
        <v>-1</v>
      </c>
    </row>
    <row r="258" spans="1:15" ht="12.75">
      <c r="A258" s="4">
        <v>75</v>
      </c>
      <c r="B258" s="4" t="s">
        <v>239</v>
      </c>
      <c r="C258" s="4">
        <v>2000</v>
      </c>
      <c r="D258" s="4">
        <v>0</v>
      </c>
      <c r="E258" s="4">
        <v>1</v>
      </c>
      <c r="F258" s="4"/>
      <c r="G258" s="4">
        <v>0</v>
      </c>
      <c r="H258" s="4">
        <v>1</v>
      </c>
      <c r="I258" s="4">
        <v>0</v>
      </c>
      <c r="J258" s="4">
        <v>3</v>
      </c>
      <c r="K258" s="4">
        <v>0</v>
      </c>
      <c r="L258" s="4">
        <v>0</v>
      </c>
      <c r="M258" s="4">
        <v>0</v>
      </c>
      <c r="N258" s="4">
        <v>55468472</v>
      </c>
      <c r="O258" s="4">
        <v>1</v>
      </c>
    </row>
    <row r="259" spans="1:15" ht="12.75">
      <c r="A259" s="4">
        <v>75</v>
      </c>
      <c r="B259" s="4" t="s">
        <v>240</v>
      </c>
      <c r="C259" s="4">
        <v>2023</v>
      </c>
      <c r="D259" s="4">
        <v>2</v>
      </c>
      <c r="E259" s="4">
        <v>0</v>
      </c>
      <c r="F259" s="4"/>
      <c r="G259" s="4">
        <v>0</v>
      </c>
      <c r="H259" s="4">
        <v>1</v>
      </c>
      <c r="I259" s="4">
        <v>0</v>
      </c>
      <c r="J259" s="4">
        <v>1</v>
      </c>
      <c r="K259" s="4">
        <v>0</v>
      </c>
      <c r="L259" s="4">
        <v>0</v>
      </c>
      <c r="M259" s="4">
        <v>1</v>
      </c>
      <c r="N259" s="4">
        <v>55468473</v>
      </c>
      <c r="O259" s="4">
        <v>2</v>
      </c>
    </row>
    <row r="260" spans="1:40" ht="12.75">
      <c r="A260" s="7">
        <v>3</v>
      </c>
      <c r="B260" s="7" t="s">
        <v>241</v>
      </c>
      <c r="C260" s="7">
        <v>1</v>
      </c>
      <c r="D260" s="7">
        <v>6.65</v>
      </c>
      <c r="E260" s="7">
        <v>13.09</v>
      </c>
      <c r="F260" s="7">
        <v>36.87</v>
      </c>
      <c r="G260" s="7">
        <v>36.87</v>
      </c>
      <c r="H260" s="7">
        <v>1</v>
      </c>
      <c r="I260" s="7">
        <v>1</v>
      </c>
      <c r="J260" s="7">
        <v>2</v>
      </c>
      <c r="K260" s="7">
        <v>1</v>
      </c>
      <c r="L260" s="7">
        <v>13.09</v>
      </c>
      <c r="M260" s="7">
        <v>1</v>
      </c>
      <c r="N260" s="7">
        <v>6.65</v>
      </c>
      <c r="O260" s="7">
        <v>1</v>
      </c>
      <c r="P260" s="7">
        <v>1</v>
      </c>
      <c r="Q260" s="7">
        <v>1</v>
      </c>
      <c r="R260" s="7">
        <v>13.09</v>
      </c>
      <c r="S260" s="7" t="s">
        <v>37</v>
      </c>
      <c r="T260" s="7" t="s">
        <v>3</v>
      </c>
      <c r="U260" s="7" t="s">
        <v>3</v>
      </c>
      <c r="V260" s="7" t="s">
        <v>3</v>
      </c>
      <c r="W260" s="7" t="s">
        <v>3</v>
      </c>
      <c r="X260" s="7" t="s">
        <v>3</v>
      </c>
      <c r="Y260" s="7" t="s">
        <v>3</v>
      </c>
      <c r="Z260" s="7" t="s">
        <v>3</v>
      </c>
      <c r="AA260" s="7" t="s">
        <v>3</v>
      </c>
      <c r="AB260" s="7" t="s">
        <v>3</v>
      </c>
      <c r="AC260" s="7" t="s">
        <v>3</v>
      </c>
      <c r="AD260" s="7" t="s">
        <v>3</v>
      </c>
      <c r="AE260" s="7" t="s">
        <v>3</v>
      </c>
      <c r="AF260" s="7" t="s">
        <v>3</v>
      </c>
      <c r="AG260" s="7" t="s">
        <v>3</v>
      </c>
      <c r="AH260" s="7" t="s">
        <v>3</v>
      </c>
      <c r="AI260" s="7"/>
      <c r="AJ260" s="7"/>
      <c r="AK260" s="7"/>
      <c r="AL260" s="7"/>
      <c r="AM260" s="7"/>
      <c r="AN260" s="7">
        <v>55468474</v>
      </c>
    </row>
    <row r="264" spans="1:5" ht="12.75">
      <c r="A264">
        <v>65</v>
      </c>
      <c r="C264">
        <v>1</v>
      </c>
      <c r="D264">
        <v>0</v>
      </c>
      <c r="E264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242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4" spans="1:133" ht="12.75">
      <c r="A4" s="1">
        <v>1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ht="12.75">
      <c r="A12" s="1">
        <v>1</v>
      </c>
      <c r="B12" s="1">
        <v>55</v>
      </c>
      <c r="C12" s="1">
        <v>0</v>
      </c>
      <c r="D12" s="1"/>
      <c r="E12" s="1">
        <v>0</v>
      </c>
      <c r="F12" s="1" t="s">
        <v>3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6</v>
      </c>
      <c r="AC12" s="1" t="s">
        <v>7</v>
      </c>
      <c r="AD12" s="1" t="s">
        <v>8</v>
      </c>
      <c r="AE12" s="1" t="s">
        <v>9</v>
      </c>
      <c r="AF12" s="1" t="s">
        <v>3</v>
      </c>
      <c r="AG12" s="1" t="s">
        <v>3</v>
      </c>
      <c r="AH12" s="1" t="s">
        <v>10</v>
      </c>
      <c r="AI12" s="1" t="s">
        <v>11</v>
      </c>
      <c r="AJ12" s="1" t="s">
        <v>4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365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55468472</v>
      </c>
      <c r="E14" s="1">
        <v>55468473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f>ROUND((Source!F177)/1000,2)</f>
        <v>31.63</v>
      </c>
      <c r="F16" s="9">
        <f>ROUND((Source!F178)/1000,2)</f>
        <v>0</v>
      </c>
      <c r="G16" s="9">
        <f>ROUND((Source!F169)/1000,2)</f>
        <v>0</v>
      </c>
      <c r="H16" s="9">
        <f>ROUND((Source!F179)/1000+(Source!F180)/1000,2)</f>
        <v>0</v>
      </c>
      <c r="I16" s="9">
        <f>E16+F16+G16+H16</f>
        <v>31.63</v>
      </c>
      <c r="J16" s="9">
        <f>ROUND((Source!F175+Source!F174)/1000,2)</f>
        <v>2.72</v>
      </c>
      <c r="T16" s="10">
        <f>ROUND((Source!P177)/1000,2)</f>
        <v>499.99</v>
      </c>
      <c r="U16" s="10">
        <f>ROUND((Source!P178)/1000,2)</f>
        <v>0</v>
      </c>
      <c r="V16" s="10">
        <f>ROUND((Source!P169)/1000,2)</f>
        <v>0</v>
      </c>
      <c r="W16" s="10">
        <f>ROUND((Source!P179)/1000+(Source!P180)/1000,2)</f>
        <v>0</v>
      </c>
      <c r="X16" s="10">
        <f>T16+U16+V16+W16</f>
        <v>499.99</v>
      </c>
      <c r="Y16" s="10">
        <f>ROUND((Source!P175+Source!P174)/1000,2)</f>
        <v>100.18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25821.36</v>
      </c>
      <c r="AU16" s="9">
        <v>16962.71</v>
      </c>
      <c r="AV16" s="9">
        <v>0</v>
      </c>
      <c r="AW16" s="9">
        <v>0</v>
      </c>
      <c r="AX16" s="9">
        <v>0</v>
      </c>
      <c r="AY16" s="9">
        <v>5644.3</v>
      </c>
      <c r="AZ16" s="9">
        <v>317.97999999999996</v>
      </c>
      <c r="BA16" s="9">
        <v>2399.21</v>
      </c>
      <c r="BB16" s="9">
        <v>31630.34</v>
      </c>
      <c r="BC16" s="9">
        <v>0</v>
      </c>
      <c r="BD16" s="9">
        <v>0</v>
      </c>
      <c r="BE16" s="9">
        <v>0</v>
      </c>
      <c r="BF16" s="9">
        <v>284.15533</v>
      </c>
      <c r="BG16" s="9">
        <v>29.8918125</v>
      </c>
      <c r="BH16" s="9">
        <v>0</v>
      </c>
      <c r="BI16" s="9">
        <v>3298.67</v>
      </c>
      <c r="BJ16" s="9">
        <v>2510.31</v>
      </c>
      <c r="BK16" s="9">
        <v>37956.41</v>
      </c>
      <c r="BR16" s="10">
        <v>285815.33</v>
      </c>
      <c r="BS16" s="10">
        <v>112802.03</v>
      </c>
      <c r="BT16" s="10">
        <v>0</v>
      </c>
      <c r="BU16" s="10">
        <v>0</v>
      </c>
      <c r="BV16" s="10">
        <v>0</v>
      </c>
      <c r="BW16" s="10">
        <v>73884.15999999999</v>
      </c>
      <c r="BX16" s="10">
        <v>11723.64</v>
      </c>
      <c r="BY16" s="10">
        <v>88458.97</v>
      </c>
      <c r="BZ16" s="10">
        <v>499991.89</v>
      </c>
      <c r="CA16" s="10">
        <v>0</v>
      </c>
      <c r="CB16" s="10">
        <v>0</v>
      </c>
      <c r="CC16" s="10">
        <v>0</v>
      </c>
      <c r="CD16" s="10">
        <v>284.15533</v>
      </c>
      <c r="CE16" s="10">
        <v>29.8918125</v>
      </c>
      <c r="CF16" s="10">
        <v>0</v>
      </c>
      <c r="CG16" s="10">
        <v>121621.63</v>
      </c>
      <c r="CH16" s="10">
        <v>92554.93</v>
      </c>
      <c r="CI16" s="10">
        <v>599990.27</v>
      </c>
    </row>
    <row r="18" spans="1:40" ht="12.75">
      <c r="A18">
        <v>51</v>
      </c>
      <c r="E18" s="6">
        <f>SUMIF(A16:A17,3,E16:E17)</f>
        <v>31.63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31.63</v>
      </c>
      <c r="J18" s="6">
        <f>SUMIF(A16:A17,3,J16:J17)</f>
        <v>2.72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499.99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499.99</v>
      </c>
      <c r="Y18" s="3">
        <f>SUMIF(A16:A17,3,Y16:Y17)</f>
        <v>100.18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25821.36</v>
      </c>
      <c r="G20" s="5" t="s">
        <v>65</v>
      </c>
      <c r="H20" s="5" t="s">
        <v>66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285815.33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16962.71</v>
      </c>
      <c r="G21" s="5" t="s">
        <v>67</v>
      </c>
      <c r="H21" s="5" t="s">
        <v>68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112802.03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69</v>
      </c>
      <c r="H22" s="5" t="s">
        <v>70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16962.71</v>
      </c>
      <c r="G23" s="5" t="s">
        <v>71</v>
      </c>
      <c r="H23" s="5" t="s">
        <v>72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112802.03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16962.71</v>
      </c>
      <c r="G24" s="5" t="s">
        <v>73</v>
      </c>
      <c r="H24" s="5" t="s">
        <v>74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112802.03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75</v>
      </c>
      <c r="H25" s="5" t="s">
        <v>76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1</v>
      </c>
      <c r="C26" s="5">
        <v>0</v>
      </c>
      <c r="D26" s="5">
        <v>1</v>
      </c>
      <c r="E26" s="5">
        <v>228</v>
      </c>
      <c r="F26" s="5">
        <v>16962.71</v>
      </c>
      <c r="G26" s="5" t="s">
        <v>77</v>
      </c>
      <c r="H26" s="5" t="s">
        <v>78</v>
      </c>
      <c r="I26" s="5"/>
      <c r="J26" s="5"/>
      <c r="K26" s="5">
        <v>228</v>
      </c>
      <c r="L26" s="5">
        <v>7</v>
      </c>
      <c r="M26" s="5">
        <v>0</v>
      </c>
      <c r="N26" s="5" t="s">
        <v>3</v>
      </c>
      <c r="O26" s="5">
        <v>2</v>
      </c>
      <c r="P26" s="5">
        <v>112802.03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79</v>
      </c>
      <c r="H27" s="5" t="s">
        <v>80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81</v>
      </c>
      <c r="H28" s="5" t="s">
        <v>82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83</v>
      </c>
      <c r="H29" s="5" t="s">
        <v>84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5644.3</v>
      </c>
      <c r="G30" s="5" t="s">
        <v>85</v>
      </c>
      <c r="H30" s="5" t="s">
        <v>86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73884.15999999999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87</v>
      </c>
      <c r="H31" s="5" t="s">
        <v>88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317.97999999999996</v>
      </c>
      <c r="G32" s="5" t="s">
        <v>89</v>
      </c>
      <c r="H32" s="5" t="s">
        <v>90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11723.64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2399.21</v>
      </c>
      <c r="G33" s="5" t="s">
        <v>91</v>
      </c>
      <c r="H33" s="5" t="s">
        <v>92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88458.97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93</v>
      </c>
      <c r="H34" s="5" t="s">
        <v>94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31630.34</v>
      </c>
      <c r="G35" s="5" t="s">
        <v>95</v>
      </c>
      <c r="H35" s="5" t="s">
        <v>96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499991.89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97</v>
      </c>
      <c r="H36" s="5" t="s">
        <v>98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99</v>
      </c>
      <c r="H37" s="5" t="s">
        <v>100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101</v>
      </c>
      <c r="H38" s="5" t="s">
        <v>102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103</v>
      </c>
      <c r="H39" s="5" t="s">
        <v>104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284.15533</v>
      </c>
      <c r="G40" s="5" t="s">
        <v>105</v>
      </c>
      <c r="H40" s="5" t="s">
        <v>106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284.15533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29.8918125</v>
      </c>
      <c r="G41" s="5" t="s">
        <v>107</v>
      </c>
      <c r="H41" s="5" t="s">
        <v>108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29.8918125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109</v>
      </c>
      <c r="H42" s="5" t="s">
        <v>110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815.14</v>
      </c>
      <c r="G43" s="5" t="s">
        <v>111</v>
      </c>
      <c r="H43" s="5" t="s">
        <v>112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10670.17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3298.67</v>
      </c>
      <c r="G44" s="5" t="s">
        <v>113</v>
      </c>
      <c r="H44" s="5" t="s">
        <v>114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121621.63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2510.31</v>
      </c>
      <c r="G45" s="5" t="s">
        <v>115</v>
      </c>
      <c r="H45" s="5" t="s">
        <v>116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92554.93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31630.34</v>
      </c>
      <c r="G46" s="5" t="s">
        <v>117</v>
      </c>
      <c r="H46" s="5" t="s">
        <v>118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499991.89</v>
      </c>
    </row>
    <row r="47" spans="1:16" ht="12.75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16962.71</v>
      </c>
      <c r="G47" s="5" t="s">
        <v>165</v>
      </c>
      <c r="H47" s="5" t="s">
        <v>165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112802.03</v>
      </c>
    </row>
    <row r="48" spans="1:16" ht="12.75">
      <c r="A48" s="5">
        <v>50</v>
      </c>
      <c r="B48" s="5">
        <v>1</v>
      </c>
      <c r="C48" s="5">
        <v>0</v>
      </c>
      <c r="D48" s="5">
        <v>2</v>
      </c>
      <c r="E48" s="5">
        <v>0</v>
      </c>
      <c r="F48" s="5">
        <v>31630.34</v>
      </c>
      <c r="G48" s="5" t="s">
        <v>169</v>
      </c>
      <c r="H48" s="5" t="s">
        <v>117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499991.89</v>
      </c>
    </row>
    <row r="49" spans="1:16" ht="12.75">
      <c r="A49" s="5">
        <v>50</v>
      </c>
      <c r="B49" s="5">
        <v>1</v>
      </c>
      <c r="C49" s="5">
        <v>0</v>
      </c>
      <c r="D49" s="5">
        <v>2</v>
      </c>
      <c r="E49" s="5">
        <v>0</v>
      </c>
      <c r="F49" s="5">
        <v>6326.07</v>
      </c>
      <c r="G49" s="5" t="s">
        <v>170</v>
      </c>
      <c r="H49" s="5" t="s">
        <v>167</v>
      </c>
      <c r="I49" s="5"/>
      <c r="J49" s="5"/>
      <c r="K49" s="5">
        <v>212</v>
      </c>
      <c r="L49" s="5">
        <v>32</v>
      </c>
      <c r="M49" s="5">
        <v>0</v>
      </c>
      <c r="N49" s="5" t="s">
        <v>3</v>
      </c>
      <c r="O49" s="5">
        <v>2</v>
      </c>
      <c r="P49" s="5">
        <v>99998.38</v>
      </c>
    </row>
    <row r="50" spans="1:16" ht="12.75">
      <c r="A50" s="5">
        <v>50</v>
      </c>
      <c r="B50" s="5">
        <v>1</v>
      </c>
      <c r="C50" s="5">
        <v>0</v>
      </c>
      <c r="D50" s="5">
        <v>2</v>
      </c>
      <c r="E50" s="5">
        <v>224</v>
      </c>
      <c r="F50" s="5">
        <v>37956.41</v>
      </c>
      <c r="G50" s="5" t="s">
        <v>171</v>
      </c>
      <c r="H50" s="5" t="s">
        <v>168</v>
      </c>
      <c r="I50" s="5"/>
      <c r="J50" s="5"/>
      <c r="K50" s="5">
        <v>212</v>
      </c>
      <c r="L50" s="5">
        <v>33</v>
      </c>
      <c r="M50" s="5">
        <v>0</v>
      </c>
      <c r="N50" s="5" t="s">
        <v>3</v>
      </c>
      <c r="O50" s="5">
        <v>2</v>
      </c>
      <c r="P50" s="5">
        <v>599990.27</v>
      </c>
    </row>
    <row r="52" ht="12.75">
      <c r="A52">
        <v>-1</v>
      </c>
    </row>
    <row r="55" spans="1:15" ht="12.75">
      <c r="A55" s="4">
        <v>75</v>
      </c>
      <c r="B55" s="4" t="s">
        <v>239</v>
      </c>
      <c r="C55" s="4">
        <v>2000</v>
      </c>
      <c r="D55" s="4">
        <v>0</v>
      </c>
      <c r="E55" s="4">
        <v>1</v>
      </c>
      <c r="F55" s="4"/>
      <c r="G55" s="4">
        <v>0</v>
      </c>
      <c r="H55" s="4">
        <v>1</v>
      </c>
      <c r="I55" s="4">
        <v>0</v>
      </c>
      <c r="J55" s="4">
        <v>3</v>
      </c>
      <c r="K55" s="4">
        <v>0</v>
      </c>
      <c r="L55" s="4">
        <v>0</v>
      </c>
      <c r="M55" s="4">
        <v>0</v>
      </c>
      <c r="N55" s="4">
        <v>55468472</v>
      </c>
      <c r="O55" s="4">
        <v>1</v>
      </c>
    </row>
    <row r="56" spans="1:15" ht="12.75">
      <c r="A56" s="4">
        <v>75</v>
      </c>
      <c r="B56" s="4" t="s">
        <v>240</v>
      </c>
      <c r="C56" s="4">
        <v>2023</v>
      </c>
      <c r="D56" s="4">
        <v>2</v>
      </c>
      <c r="E56" s="4">
        <v>0</v>
      </c>
      <c r="F56" s="4"/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1</v>
      </c>
      <c r="N56" s="4">
        <v>55468473</v>
      </c>
      <c r="O56" s="4">
        <v>2</v>
      </c>
    </row>
    <row r="57" spans="1:40" ht="12.75">
      <c r="A57" s="7">
        <v>3</v>
      </c>
      <c r="B57" s="7" t="s">
        <v>241</v>
      </c>
      <c r="C57" s="7">
        <v>1</v>
      </c>
      <c r="D57" s="7">
        <v>6.65</v>
      </c>
      <c r="E57" s="7">
        <v>13.09</v>
      </c>
      <c r="F57" s="7">
        <v>36.87</v>
      </c>
      <c r="G57" s="7">
        <v>36.87</v>
      </c>
      <c r="H57" s="7">
        <v>1</v>
      </c>
      <c r="I57" s="7">
        <v>1</v>
      </c>
      <c r="J57" s="7">
        <v>2</v>
      </c>
      <c r="K57" s="7">
        <v>1</v>
      </c>
      <c r="L57" s="7">
        <v>13.09</v>
      </c>
      <c r="M57" s="7">
        <v>1</v>
      </c>
      <c r="N57" s="7">
        <v>6.65</v>
      </c>
      <c r="O57" s="7">
        <v>1</v>
      </c>
      <c r="P57" s="7">
        <v>1</v>
      </c>
      <c r="Q57" s="7">
        <v>1</v>
      </c>
      <c r="R57" s="7">
        <v>13.09</v>
      </c>
      <c r="S57" s="7" t="s">
        <v>37</v>
      </c>
      <c r="T57" s="7" t="s">
        <v>3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7" t="s">
        <v>3</v>
      </c>
      <c r="AC57" s="7" t="s">
        <v>3</v>
      </c>
      <c r="AD57" s="7" t="s">
        <v>3</v>
      </c>
      <c r="AE57" s="7" t="s">
        <v>3</v>
      </c>
      <c r="AF57" s="7" t="s">
        <v>3</v>
      </c>
      <c r="AG57" s="7" t="s">
        <v>3</v>
      </c>
      <c r="AH57" s="7" t="s">
        <v>3</v>
      </c>
      <c r="AI57" s="7"/>
      <c r="AJ57" s="7"/>
      <c r="AK57" s="7"/>
      <c r="AL57" s="7"/>
      <c r="AM57" s="7"/>
      <c r="AN57" s="7">
        <v>55468474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C1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55468472</v>
      </c>
      <c r="C1">
        <v>55655290</v>
      </c>
      <c r="D1">
        <v>37822887</v>
      </c>
      <c r="E1">
        <v>70</v>
      </c>
      <c r="F1">
        <v>1</v>
      </c>
      <c r="G1">
        <v>1</v>
      </c>
      <c r="H1">
        <v>1</v>
      </c>
      <c r="I1" t="s">
        <v>243</v>
      </c>
      <c r="K1" t="s">
        <v>244</v>
      </c>
      <c r="L1">
        <v>1191</v>
      </c>
      <c r="N1">
        <v>1013</v>
      </c>
      <c r="O1" t="s">
        <v>245</v>
      </c>
      <c r="P1" t="s">
        <v>245</v>
      </c>
      <c r="Q1">
        <v>1</v>
      </c>
      <c r="W1">
        <v>0</v>
      </c>
      <c r="X1">
        <v>388411409</v>
      </c>
      <c r="Y1">
        <v>25.173499999999997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21.89</v>
      </c>
      <c r="AU1" t="s">
        <v>28</v>
      </c>
      <c r="AV1">
        <v>1</v>
      </c>
      <c r="AW1">
        <v>2</v>
      </c>
      <c r="AX1">
        <v>55655305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65.4511</v>
      </c>
      <c r="CY1">
        <f>AD1</f>
        <v>8.17</v>
      </c>
      <c r="CZ1">
        <f>AH1</f>
        <v>8.17</v>
      </c>
      <c r="DA1">
        <f>AL1</f>
        <v>1</v>
      </c>
      <c r="DB1">
        <f>ROUND((ROUND(AT1*CZ1,2)*ROUND(1.15,7)),2)</f>
        <v>205.67</v>
      </c>
      <c r="DC1">
        <f>ROUND((ROUND(AT1*AG1,2)*ROUND(1.15,7)),2)</f>
        <v>0</v>
      </c>
    </row>
    <row r="2" spans="1:107" ht="12.75">
      <c r="A2">
        <f>ROW(Source!A28)</f>
        <v>28</v>
      </c>
      <c r="B2">
        <v>55468472</v>
      </c>
      <c r="C2">
        <v>55655290</v>
      </c>
      <c r="D2">
        <v>37822850</v>
      </c>
      <c r="E2">
        <v>70</v>
      </c>
      <c r="F2">
        <v>1</v>
      </c>
      <c r="G2">
        <v>1</v>
      </c>
      <c r="H2">
        <v>1</v>
      </c>
      <c r="I2" t="s">
        <v>246</v>
      </c>
      <c r="K2" t="s">
        <v>247</v>
      </c>
      <c r="L2">
        <v>1191</v>
      </c>
      <c r="N2">
        <v>1013</v>
      </c>
      <c r="O2" t="s">
        <v>245</v>
      </c>
      <c r="P2" t="s">
        <v>245</v>
      </c>
      <c r="Q2">
        <v>1</v>
      </c>
      <c r="W2">
        <v>0</v>
      </c>
      <c r="X2">
        <v>-1417349443</v>
      </c>
      <c r="Y2">
        <v>5.6499999999999995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4.52</v>
      </c>
      <c r="AU2" t="s">
        <v>27</v>
      </c>
      <c r="AV2">
        <v>2</v>
      </c>
      <c r="AW2">
        <v>2</v>
      </c>
      <c r="AX2">
        <v>55655306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14.69</v>
      </c>
      <c r="CY2">
        <f>AD2</f>
        <v>0</v>
      </c>
      <c r="CZ2">
        <f>AH2</f>
        <v>0</v>
      </c>
      <c r="DA2">
        <f>AL2</f>
        <v>1</v>
      </c>
      <c r="DB2">
        <f aca="true" t="shared" si="0" ref="DB2:DB9">ROUND((ROUND(AT2*CZ2,2)*ROUND(1.25,7)),2)</f>
        <v>0</v>
      </c>
      <c r="DC2">
        <f aca="true" t="shared" si="1" ref="DC2:DC9">ROUND((ROUND(AT2*AG2,2)*ROUND(1.25,7)),2)</f>
        <v>0</v>
      </c>
    </row>
    <row r="3" spans="1:107" ht="12.75">
      <c r="A3">
        <f>ROW(Source!A28)</f>
        <v>28</v>
      </c>
      <c r="B3">
        <v>55468472</v>
      </c>
      <c r="C3">
        <v>55655290</v>
      </c>
      <c r="D3">
        <v>53792151</v>
      </c>
      <c r="E3">
        <v>1</v>
      </c>
      <c r="F3">
        <v>1</v>
      </c>
      <c r="G3">
        <v>1</v>
      </c>
      <c r="H3">
        <v>2</v>
      </c>
      <c r="I3" t="s">
        <v>39</v>
      </c>
      <c r="J3" t="s">
        <v>42</v>
      </c>
      <c r="K3" t="s">
        <v>40</v>
      </c>
      <c r="L3">
        <v>1367</v>
      </c>
      <c r="N3">
        <v>1011</v>
      </c>
      <c r="O3" t="s">
        <v>41</v>
      </c>
      <c r="P3" t="s">
        <v>41</v>
      </c>
      <c r="Q3">
        <v>1</v>
      </c>
      <c r="W3">
        <v>1</v>
      </c>
      <c r="X3">
        <v>-896236776</v>
      </c>
      <c r="Y3">
        <v>-0.1625</v>
      </c>
      <c r="AA3">
        <v>0</v>
      </c>
      <c r="AB3">
        <v>89.99</v>
      </c>
      <c r="AC3">
        <v>10.06</v>
      </c>
      <c r="AD3">
        <v>0</v>
      </c>
      <c r="AE3">
        <v>0</v>
      </c>
      <c r="AF3">
        <v>89.99</v>
      </c>
      <c r="AG3">
        <v>10.06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-0.13</v>
      </c>
      <c r="AU3" t="s">
        <v>27</v>
      </c>
      <c r="AV3">
        <v>0</v>
      </c>
      <c r="AW3">
        <v>2</v>
      </c>
      <c r="AX3">
        <v>55655307</v>
      </c>
      <c r="AY3">
        <v>1</v>
      </c>
      <c r="AZ3">
        <v>6144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-0.42250000000000004</v>
      </c>
      <c r="CY3">
        <f aca="true" t="shared" si="2" ref="CY3:CY9">AB3</f>
        <v>89.99</v>
      </c>
      <c r="CZ3">
        <f aca="true" t="shared" si="3" ref="CZ3:CZ9">AF3</f>
        <v>89.99</v>
      </c>
      <c r="DA3">
        <f aca="true" t="shared" si="4" ref="DA3:DA9">AJ3</f>
        <v>1</v>
      </c>
      <c r="DB3">
        <f t="shared" si="0"/>
        <v>-14.63</v>
      </c>
      <c r="DC3">
        <f t="shared" si="1"/>
        <v>-1.64</v>
      </c>
    </row>
    <row r="4" spans="1:107" ht="12.75">
      <c r="A4">
        <f>ROW(Source!A28)</f>
        <v>28</v>
      </c>
      <c r="B4">
        <v>55468472</v>
      </c>
      <c r="C4">
        <v>55655290</v>
      </c>
      <c r="D4">
        <v>53792398</v>
      </c>
      <c r="E4">
        <v>1</v>
      </c>
      <c r="F4">
        <v>1</v>
      </c>
      <c r="G4">
        <v>1</v>
      </c>
      <c r="H4">
        <v>2</v>
      </c>
      <c r="I4" t="s">
        <v>44</v>
      </c>
      <c r="J4" t="s">
        <v>46</v>
      </c>
      <c r="K4" t="s">
        <v>45</v>
      </c>
      <c r="L4">
        <v>1367</v>
      </c>
      <c r="N4">
        <v>1011</v>
      </c>
      <c r="O4" t="s">
        <v>41</v>
      </c>
      <c r="P4" t="s">
        <v>41</v>
      </c>
      <c r="Q4">
        <v>1</v>
      </c>
      <c r="W4">
        <v>1</v>
      </c>
      <c r="X4">
        <v>-1193409272</v>
      </c>
      <c r="Y4">
        <v>-0.75</v>
      </c>
      <c r="AA4">
        <v>0</v>
      </c>
      <c r="AB4">
        <v>30</v>
      </c>
      <c r="AC4">
        <v>0</v>
      </c>
      <c r="AD4">
        <v>0</v>
      </c>
      <c r="AE4">
        <v>0</v>
      </c>
      <c r="AF4">
        <v>30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-0.6</v>
      </c>
      <c r="AU4" t="s">
        <v>27</v>
      </c>
      <c r="AV4">
        <v>0</v>
      </c>
      <c r="AW4">
        <v>2</v>
      </c>
      <c r="AX4">
        <v>55655308</v>
      </c>
      <c r="AY4">
        <v>1</v>
      </c>
      <c r="AZ4">
        <v>6144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-1.9500000000000002</v>
      </c>
      <c r="CY4">
        <f t="shared" si="2"/>
        <v>30</v>
      </c>
      <c r="CZ4">
        <f t="shared" si="3"/>
        <v>30</v>
      </c>
      <c r="DA4">
        <f t="shared" si="4"/>
        <v>1</v>
      </c>
      <c r="DB4">
        <f t="shared" si="0"/>
        <v>-22.5</v>
      </c>
      <c r="DC4">
        <f t="shared" si="1"/>
        <v>0</v>
      </c>
    </row>
    <row r="5" spans="1:107" ht="12.75">
      <c r="A5">
        <f>ROW(Source!A28)</f>
        <v>28</v>
      </c>
      <c r="B5">
        <v>55468472</v>
      </c>
      <c r="C5">
        <v>55655290</v>
      </c>
      <c r="D5">
        <v>53792440</v>
      </c>
      <c r="E5">
        <v>1</v>
      </c>
      <c r="F5">
        <v>1</v>
      </c>
      <c r="G5">
        <v>1</v>
      </c>
      <c r="H5">
        <v>2</v>
      </c>
      <c r="I5" t="s">
        <v>248</v>
      </c>
      <c r="J5" t="s">
        <v>249</v>
      </c>
      <c r="K5" t="s">
        <v>250</v>
      </c>
      <c r="L5">
        <v>1367</v>
      </c>
      <c r="N5">
        <v>1011</v>
      </c>
      <c r="O5" t="s">
        <v>41</v>
      </c>
      <c r="P5" t="s">
        <v>41</v>
      </c>
      <c r="Q5">
        <v>1</v>
      </c>
      <c r="W5">
        <v>0</v>
      </c>
      <c r="X5">
        <v>37242201</v>
      </c>
      <c r="Y5">
        <v>10.45</v>
      </c>
      <c r="AA5">
        <v>0</v>
      </c>
      <c r="AB5">
        <v>60.89</v>
      </c>
      <c r="AC5">
        <v>0</v>
      </c>
      <c r="AD5">
        <v>0</v>
      </c>
      <c r="AE5">
        <v>0</v>
      </c>
      <c r="AF5">
        <v>60.89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8.36</v>
      </c>
      <c r="AU5" t="s">
        <v>27</v>
      </c>
      <c r="AV5">
        <v>0</v>
      </c>
      <c r="AW5">
        <v>2</v>
      </c>
      <c r="AX5">
        <v>55655309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27.169999999999998</v>
      </c>
      <c r="CY5">
        <f t="shared" si="2"/>
        <v>60.89</v>
      </c>
      <c r="CZ5">
        <f t="shared" si="3"/>
        <v>60.89</v>
      </c>
      <c r="DA5">
        <f t="shared" si="4"/>
        <v>1</v>
      </c>
      <c r="DB5">
        <f t="shared" si="0"/>
        <v>636.3</v>
      </c>
      <c r="DC5">
        <f t="shared" si="1"/>
        <v>0</v>
      </c>
    </row>
    <row r="6" spans="1:107" ht="12.75">
      <c r="A6">
        <f>ROW(Source!A28)</f>
        <v>28</v>
      </c>
      <c r="B6">
        <v>55468472</v>
      </c>
      <c r="C6">
        <v>55655290</v>
      </c>
      <c r="D6">
        <v>53792491</v>
      </c>
      <c r="E6">
        <v>1</v>
      </c>
      <c r="F6">
        <v>1</v>
      </c>
      <c r="G6">
        <v>1</v>
      </c>
      <c r="H6">
        <v>2</v>
      </c>
      <c r="I6" t="s">
        <v>251</v>
      </c>
      <c r="J6" t="s">
        <v>252</v>
      </c>
      <c r="K6" t="s">
        <v>253</v>
      </c>
      <c r="L6">
        <v>1367</v>
      </c>
      <c r="N6">
        <v>1011</v>
      </c>
      <c r="O6" t="s">
        <v>41</v>
      </c>
      <c r="P6" t="s">
        <v>41</v>
      </c>
      <c r="Q6">
        <v>1</v>
      </c>
      <c r="W6">
        <v>0</v>
      </c>
      <c r="X6">
        <v>-1920128845</v>
      </c>
      <c r="Y6">
        <v>4.0625</v>
      </c>
      <c r="AA6">
        <v>0</v>
      </c>
      <c r="AB6">
        <v>175.25</v>
      </c>
      <c r="AC6">
        <v>11.6</v>
      </c>
      <c r="AD6">
        <v>0</v>
      </c>
      <c r="AE6">
        <v>0</v>
      </c>
      <c r="AF6">
        <v>175.25</v>
      </c>
      <c r="AG6">
        <v>11.6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3.25</v>
      </c>
      <c r="AU6" t="s">
        <v>27</v>
      </c>
      <c r="AV6">
        <v>0</v>
      </c>
      <c r="AW6">
        <v>2</v>
      </c>
      <c r="AX6">
        <v>55655310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10.5625</v>
      </c>
      <c r="CY6">
        <f t="shared" si="2"/>
        <v>175.25</v>
      </c>
      <c r="CZ6">
        <f t="shared" si="3"/>
        <v>175.25</v>
      </c>
      <c r="DA6">
        <f t="shared" si="4"/>
        <v>1</v>
      </c>
      <c r="DB6">
        <f t="shared" si="0"/>
        <v>711.95</v>
      </c>
      <c r="DC6">
        <f t="shared" si="1"/>
        <v>47.13</v>
      </c>
    </row>
    <row r="7" spans="1:107" ht="12.75">
      <c r="A7">
        <f>ROW(Source!A28)</f>
        <v>28</v>
      </c>
      <c r="B7">
        <v>55468472</v>
      </c>
      <c r="C7">
        <v>55655290</v>
      </c>
      <c r="D7">
        <v>53792874</v>
      </c>
      <c r="E7">
        <v>1</v>
      </c>
      <c r="F7">
        <v>1</v>
      </c>
      <c r="G7">
        <v>1</v>
      </c>
      <c r="H7">
        <v>2</v>
      </c>
      <c r="I7" t="s">
        <v>254</v>
      </c>
      <c r="J7" t="s">
        <v>255</v>
      </c>
      <c r="K7" t="s">
        <v>256</v>
      </c>
      <c r="L7">
        <v>1367</v>
      </c>
      <c r="N7">
        <v>1011</v>
      </c>
      <c r="O7" t="s">
        <v>41</v>
      </c>
      <c r="P7" t="s">
        <v>41</v>
      </c>
      <c r="Q7">
        <v>1</v>
      </c>
      <c r="W7">
        <v>0</v>
      </c>
      <c r="X7">
        <v>-859805338</v>
      </c>
      <c r="Y7">
        <v>1.1500000000000001</v>
      </c>
      <c r="AA7">
        <v>0</v>
      </c>
      <c r="AB7">
        <v>110</v>
      </c>
      <c r="AC7">
        <v>11.6</v>
      </c>
      <c r="AD7">
        <v>0</v>
      </c>
      <c r="AE7">
        <v>0</v>
      </c>
      <c r="AF7">
        <v>110</v>
      </c>
      <c r="AG7">
        <v>11.6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0.92</v>
      </c>
      <c r="AU7" t="s">
        <v>27</v>
      </c>
      <c r="AV7">
        <v>0</v>
      </c>
      <c r="AW7">
        <v>2</v>
      </c>
      <c r="AX7">
        <v>55655311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2.9900000000000007</v>
      </c>
      <c r="CY7">
        <f t="shared" si="2"/>
        <v>110</v>
      </c>
      <c r="CZ7">
        <f t="shared" si="3"/>
        <v>110</v>
      </c>
      <c r="DA7">
        <f t="shared" si="4"/>
        <v>1</v>
      </c>
      <c r="DB7">
        <f t="shared" si="0"/>
        <v>126.5</v>
      </c>
      <c r="DC7">
        <f t="shared" si="1"/>
        <v>13.34</v>
      </c>
    </row>
    <row r="8" spans="1:107" ht="12.75">
      <c r="A8">
        <f>ROW(Source!A28)</f>
        <v>28</v>
      </c>
      <c r="B8">
        <v>55468472</v>
      </c>
      <c r="C8">
        <v>55655290</v>
      </c>
      <c r="D8">
        <v>53792927</v>
      </c>
      <c r="E8">
        <v>1</v>
      </c>
      <c r="F8">
        <v>1</v>
      </c>
      <c r="G8">
        <v>1</v>
      </c>
      <c r="H8">
        <v>2</v>
      </c>
      <c r="I8" t="s">
        <v>257</v>
      </c>
      <c r="J8" t="s">
        <v>258</v>
      </c>
      <c r="K8" t="s">
        <v>259</v>
      </c>
      <c r="L8">
        <v>1367</v>
      </c>
      <c r="N8">
        <v>1011</v>
      </c>
      <c r="O8" t="s">
        <v>41</v>
      </c>
      <c r="P8" t="s">
        <v>41</v>
      </c>
      <c r="Q8">
        <v>1</v>
      </c>
      <c r="W8">
        <v>0</v>
      </c>
      <c r="X8">
        <v>509054691</v>
      </c>
      <c r="Y8">
        <v>0.0375</v>
      </c>
      <c r="AA8">
        <v>0</v>
      </c>
      <c r="AB8">
        <v>65.71</v>
      </c>
      <c r="AC8">
        <v>11.6</v>
      </c>
      <c r="AD8">
        <v>0</v>
      </c>
      <c r="AE8">
        <v>0</v>
      </c>
      <c r="AF8">
        <v>65.71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0.03</v>
      </c>
      <c r="AU8" t="s">
        <v>27</v>
      </c>
      <c r="AV8">
        <v>0</v>
      </c>
      <c r="AW8">
        <v>2</v>
      </c>
      <c r="AX8">
        <v>55655312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0.0975</v>
      </c>
      <c r="CY8">
        <f t="shared" si="2"/>
        <v>65.71</v>
      </c>
      <c r="CZ8">
        <f t="shared" si="3"/>
        <v>65.71</v>
      </c>
      <c r="DA8">
        <f t="shared" si="4"/>
        <v>1</v>
      </c>
      <c r="DB8">
        <f t="shared" si="0"/>
        <v>2.46</v>
      </c>
      <c r="DC8">
        <f t="shared" si="1"/>
        <v>0.44</v>
      </c>
    </row>
    <row r="9" spans="1:107" ht="12.75">
      <c r="A9">
        <f>ROW(Source!A28)</f>
        <v>28</v>
      </c>
      <c r="B9">
        <v>55468472</v>
      </c>
      <c r="C9">
        <v>55655290</v>
      </c>
      <c r="D9">
        <v>53793153</v>
      </c>
      <c r="E9">
        <v>1</v>
      </c>
      <c r="F9">
        <v>1</v>
      </c>
      <c r="G9">
        <v>1</v>
      </c>
      <c r="H9">
        <v>2</v>
      </c>
      <c r="I9" t="s">
        <v>48</v>
      </c>
      <c r="J9" t="s">
        <v>50</v>
      </c>
      <c r="K9" t="s">
        <v>49</v>
      </c>
      <c r="L9">
        <v>1367</v>
      </c>
      <c r="N9">
        <v>1011</v>
      </c>
      <c r="O9" t="s">
        <v>41</v>
      </c>
      <c r="P9" t="s">
        <v>41</v>
      </c>
      <c r="Q9">
        <v>1</v>
      </c>
      <c r="W9">
        <v>1</v>
      </c>
      <c r="X9">
        <v>-1111507504</v>
      </c>
      <c r="Y9">
        <v>-0.2375</v>
      </c>
      <c r="AA9">
        <v>0</v>
      </c>
      <c r="AB9">
        <v>90</v>
      </c>
      <c r="AC9">
        <v>10.06</v>
      </c>
      <c r="AD9">
        <v>0</v>
      </c>
      <c r="AE9">
        <v>0</v>
      </c>
      <c r="AF9">
        <v>90</v>
      </c>
      <c r="AG9">
        <v>10.06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-0.19</v>
      </c>
      <c r="AU9" t="s">
        <v>27</v>
      </c>
      <c r="AV9">
        <v>0</v>
      </c>
      <c r="AW9">
        <v>2</v>
      </c>
      <c r="AX9">
        <v>55655313</v>
      </c>
      <c r="AY9">
        <v>1</v>
      </c>
      <c r="AZ9">
        <v>6144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-0.6174999999999999</v>
      </c>
      <c r="CY9">
        <f t="shared" si="2"/>
        <v>90</v>
      </c>
      <c r="CZ9">
        <f t="shared" si="3"/>
        <v>90</v>
      </c>
      <c r="DA9">
        <f t="shared" si="4"/>
        <v>1</v>
      </c>
      <c r="DB9">
        <f t="shared" si="0"/>
        <v>-21.38</v>
      </c>
      <c r="DC9">
        <f t="shared" si="1"/>
        <v>-2.39</v>
      </c>
    </row>
    <row r="10" spans="1:107" ht="12.75">
      <c r="A10">
        <f>ROW(Source!A28)</f>
        <v>28</v>
      </c>
      <c r="B10">
        <v>55468472</v>
      </c>
      <c r="C10">
        <v>55655290</v>
      </c>
      <c r="D10">
        <v>53640649</v>
      </c>
      <c r="E10">
        <v>1</v>
      </c>
      <c r="F10">
        <v>1</v>
      </c>
      <c r="G10">
        <v>1</v>
      </c>
      <c r="H10">
        <v>3</v>
      </c>
      <c r="I10" t="s">
        <v>260</v>
      </c>
      <c r="J10" t="s">
        <v>261</v>
      </c>
      <c r="K10" t="s">
        <v>262</v>
      </c>
      <c r="L10">
        <v>1348</v>
      </c>
      <c r="N10">
        <v>1009</v>
      </c>
      <c r="O10" t="s">
        <v>138</v>
      </c>
      <c r="P10" t="s">
        <v>138</v>
      </c>
      <c r="Q10">
        <v>1000</v>
      </c>
      <c r="W10">
        <v>0</v>
      </c>
      <c r="X10">
        <v>-44402568</v>
      </c>
      <c r="Y10">
        <v>0.01</v>
      </c>
      <c r="AA10">
        <v>1690</v>
      </c>
      <c r="AB10">
        <v>0</v>
      </c>
      <c r="AC10">
        <v>0</v>
      </c>
      <c r="AD10">
        <v>0</v>
      </c>
      <c r="AE10">
        <v>1690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0.01</v>
      </c>
      <c r="AV10">
        <v>0</v>
      </c>
      <c r="AW10">
        <v>2</v>
      </c>
      <c r="AX10">
        <v>55655314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0.026000000000000002</v>
      </c>
      <c r="CY10">
        <f>AA10</f>
        <v>1690</v>
      </c>
      <c r="CZ10">
        <f>AE10</f>
        <v>1690</v>
      </c>
      <c r="DA10">
        <f>AI10</f>
        <v>1</v>
      </c>
      <c r="DB10">
        <f>ROUND(ROUND(AT10*CZ10,2),2)</f>
        <v>16.9</v>
      </c>
      <c r="DC10">
        <f>ROUND(ROUND(AT10*AG10,2),2)</f>
        <v>0</v>
      </c>
    </row>
    <row r="11" spans="1:107" ht="12.75">
      <c r="A11">
        <f>ROW(Source!A28)</f>
        <v>28</v>
      </c>
      <c r="B11">
        <v>55468472</v>
      </c>
      <c r="C11">
        <v>55655290</v>
      </c>
      <c r="D11">
        <v>53640725</v>
      </c>
      <c r="E11">
        <v>1</v>
      </c>
      <c r="F11">
        <v>1</v>
      </c>
      <c r="G11">
        <v>1</v>
      </c>
      <c r="H11">
        <v>3</v>
      </c>
      <c r="I11" t="s">
        <v>263</v>
      </c>
      <c r="J11" t="s">
        <v>264</v>
      </c>
      <c r="K11" t="s">
        <v>265</v>
      </c>
      <c r="L11">
        <v>1348</v>
      </c>
      <c r="N11">
        <v>1009</v>
      </c>
      <c r="O11" t="s">
        <v>138</v>
      </c>
      <c r="P11" t="s">
        <v>138</v>
      </c>
      <c r="Q11">
        <v>1000</v>
      </c>
      <c r="W11">
        <v>0</v>
      </c>
      <c r="X11">
        <v>1508494229</v>
      </c>
      <c r="Y11">
        <v>0.07</v>
      </c>
      <c r="AA11">
        <v>1500</v>
      </c>
      <c r="AB11">
        <v>0</v>
      </c>
      <c r="AC11">
        <v>0</v>
      </c>
      <c r="AD11">
        <v>0</v>
      </c>
      <c r="AE11">
        <v>1500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0.07</v>
      </c>
      <c r="AV11">
        <v>0</v>
      </c>
      <c r="AW11">
        <v>2</v>
      </c>
      <c r="AX11">
        <v>55655315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0.18200000000000002</v>
      </c>
      <c r="CY11">
        <f>AA11</f>
        <v>1500</v>
      </c>
      <c r="CZ11">
        <f>AE11</f>
        <v>1500</v>
      </c>
      <c r="DA11">
        <f>AI11</f>
        <v>1</v>
      </c>
      <c r="DB11">
        <f>ROUND(ROUND(AT11*CZ11,2),2)</f>
        <v>105</v>
      </c>
      <c r="DC11">
        <f>ROUND(ROUND(AT11*AG11,2),2)</f>
        <v>0</v>
      </c>
    </row>
    <row r="12" spans="1:107" ht="12.75">
      <c r="A12">
        <f>ROW(Source!A28)</f>
        <v>28</v>
      </c>
      <c r="B12">
        <v>55468472</v>
      </c>
      <c r="C12">
        <v>55655290</v>
      </c>
      <c r="D12">
        <v>53642555</v>
      </c>
      <c r="E12">
        <v>1</v>
      </c>
      <c r="F12">
        <v>1</v>
      </c>
      <c r="G12">
        <v>1</v>
      </c>
      <c r="H12">
        <v>3</v>
      </c>
      <c r="I12" t="s">
        <v>266</v>
      </c>
      <c r="J12" t="s">
        <v>267</v>
      </c>
      <c r="K12" t="s">
        <v>268</v>
      </c>
      <c r="L12">
        <v>1339</v>
      </c>
      <c r="N12">
        <v>1007</v>
      </c>
      <c r="O12" t="s">
        <v>269</v>
      </c>
      <c r="P12" t="s">
        <v>269</v>
      </c>
      <c r="Q12">
        <v>1</v>
      </c>
      <c r="W12">
        <v>0</v>
      </c>
      <c r="X12">
        <v>-143474561</v>
      </c>
      <c r="Y12">
        <v>3.5</v>
      </c>
      <c r="AA12">
        <v>2.44</v>
      </c>
      <c r="AB12">
        <v>0</v>
      </c>
      <c r="AC12">
        <v>0</v>
      </c>
      <c r="AD12">
        <v>0</v>
      </c>
      <c r="AE12">
        <v>2.44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3.5</v>
      </c>
      <c r="AV12">
        <v>0</v>
      </c>
      <c r="AW12">
        <v>2</v>
      </c>
      <c r="AX12">
        <v>55655316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9.1</v>
      </c>
      <c r="CY12">
        <f>AA12</f>
        <v>2.44</v>
      </c>
      <c r="CZ12">
        <f>AE12</f>
        <v>2.44</v>
      </c>
      <c r="DA12">
        <f>AI12</f>
        <v>1</v>
      </c>
      <c r="DB12">
        <f>ROUND(ROUND(AT12*CZ12,2),2)</f>
        <v>8.54</v>
      </c>
      <c r="DC12">
        <f>ROUND(ROUND(AT12*AG12,2),2)</f>
        <v>0</v>
      </c>
    </row>
    <row r="13" spans="1:107" ht="12.75">
      <c r="A13">
        <f>ROW(Source!A28)</f>
        <v>28</v>
      </c>
      <c r="B13">
        <v>55468472</v>
      </c>
      <c r="C13">
        <v>55655290</v>
      </c>
      <c r="D13">
        <v>53643153</v>
      </c>
      <c r="E13">
        <v>1</v>
      </c>
      <c r="F13">
        <v>1</v>
      </c>
      <c r="G13">
        <v>1</v>
      </c>
      <c r="H13">
        <v>3</v>
      </c>
      <c r="I13" t="s">
        <v>270</v>
      </c>
      <c r="J13" t="s">
        <v>271</v>
      </c>
      <c r="K13" t="s">
        <v>272</v>
      </c>
      <c r="L13">
        <v>1302</v>
      </c>
      <c r="N13">
        <v>1003</v>
      </c>
      <c r="O13" t="s">
        <v>273</v>
      </c>
      <c r="P13" t="s">
        <v>273</v>
      </c>
      <c r="Q13">
        <v>10</v>
      </c>
      <c r="W13">
        <v>0</v>
      </c>
      <c r="X13">
        <v>-1959164277</v>
      </c>
      <c r="Y13">
        <v>10</v>
      </c>
      <c r="AA13">
        <v>16.8</v>
      </c>
      <c r="AB13">
        <v>0</v>
      </c>
      <c r="AC13">
        <v>0</v>
      </c>
      <c r="AD13">
        <v>0</v>
      </c>
      <c r="AE13">
        <v>16.8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10</v>
      </c>
      <c r="AV13">
        <v>0</v>
      </c>
      <c r="AW13">
        <v>2</v>
      </c>
      <c r="AX13">
        <v>55655317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Y13*Source!I28</f>
        <v>26</v>
      </c>
      <c r="CY13">
        <f>AA13</f>
        <v>16.8</v>
      </c>
      <c r="CZ13">
        <f>AE13</f>
        <v>16.8</v>
      </c>
      <c r="DA13">
        <f>AI13</f>
        <v>1</v>
      </c>
      <c r="DB13">
        <f>ROUND(ROUND(AT13*CZ13,2),2)</f>
        <v>168</v>
      </c>
      <c r="DC13">
        <f>ROUND(ROUND(AT13*AG13,2),2)</f>
        <v>0</v>
      </c>
    </row>
    <row r="14" spans="1:107" ht="12.75">
      <c r="A14">
        <f>ROW(Source!A28)</f>
        <v>28</v>
      </c>
      <c r="B14">
        <v>55468472</v>
      </c>
      <c r="C14">
        <v>55655290</v>
      </c>
      <c r="D14">
        <v>53646859</v>
      </c>
      <c r="E14">
        <v>1</v>
      </c>
      <c r="F14">
        <v>1</v>
      </c>
      <c r="G14">
        <v>1</v>
      </c>
      <c r="H14">
        <v>3</v>
      </c>
      <c r="I14" t="s">
        <v>274</v>
      </c>
      <c r="J14" t="s">
        <v>275</v>
      </c>
      <c r="K14" t="s">
        <v>276</v>
      </c>
      <c r="L14">
        <v>1339</v>
      </c>
      <c r="N14">
        <v>1007</v>
      </c>
      <c r="O14" t="s">
        <v>269</v>
      </c>
      <c r="P14" t="s">
        <v>269</v>
      </c>
      <c r="Q14">
        <v>1</v>
      </c>
      <c r="W14">
        <v>0</v>
      </c>
      <c r="X14">
        <v>458429195</v>
      </c>
      <c r="Y14">
        <v>2</v>
      </c>
      <c r="AA14">
        <v>59.99</v>
      </c>
      <c r="AB14">
        <v>0</v>
      </c>
      <c r="AC14">
        <v>0</v>
      </c>
      <c r="AD14">
        <v>0</v>
      </c>
      <c r="AE14">
        <v>59.99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2</v>
      </c>
      <c r="AV14">
        <v>0</v>
      </c>
      <c r="AW14">
        <v>2</v>
      </c>
      <c r="AX14">
        <v>55655318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Y14*Source!I28</f>
        <v>5.2</v>
      </c>
      <c r="CY14">
        <f>AA14</f>
        <v>59.99</v>
      </c>
      <c r="CZ14">
        <f>AE14</f>
        <v>59.99</v>
      </c>
      <c r="DA14">
        <f>AI14</f>
        <v>1</v>
      </c>
      <c r="DB14">
        <f>ROUND(ROUND(AT14*CZ14,2),2)</f>
        <v>119.98</v>
      </c>
      <c r="DC14">
        <f>ROUND(ROUND(AT14*AG14,2),2)</f>
        <v>0</v>
      </c>
    </row>
    <row r="15" spans="1:107" ht="12.75">
      <c r="A15">
        <f>ROW(Source!A29)</f>
        <v>29</v>
      </c>
      <c r="B15">
        <v>55468473</v>
      </c>
      <c r="C15">
        <v>55655290</v>
      </c>
      <c r="D15">
        <v>37822887</v>
      </c>
      <c r="E15">
        <v>70</v>
      </c>
      <c r="F15">
        <v>1</v>
      </c>
      <c r="G15">
        <v>1</v>
      </c>
      <c r="H15">
        <v>1</v>
      </c>
      <c r="I15" t="s">
        <v>243</v>
      </c>
      <c r="K15" t="s">
        <v>244</v>
      </c>
      <c r="L15">
        <v>1191</v>
      </c>
      <c r="N15">
        <v>1013</v>
      </c>
      <c r="O15" t="s">
        <v>245</v>
      </c>
      <c r="P15" t="s">
        <v>245</v>
      </c>
      <c r="Q15">
        <v>1</v>
      </c>
      <c r="W15">
        <v>0</v>
      </c>
      <c r="X15">
        <v>388411409</v>
      </c>
      <c r="Y15">
        <v>25.173499999999997</v>
      </c>
      <c r="AA15">
        <v>0</v>
      </c>
      <c r="AB15">
        <v>0</v>
      </c>
      <c r="AC15">
        <v>0</v>
      </c>
      <c r="AD15">
        <v>301.23</v>
      </c>
      <c r="AE15">
        <v>0</v>
      </c>
      <c r="AF15">
        <v>0</v>
      </c>
      <c r="AG15">
        <v>0</v>
      </c>
      <c r="AH15">
        <v>8.17</v>
      </c>
      <c r="AI15">
        <v>1</v>
      </c>
      <c r="AJ15">
        <v>1</v>
      </c>
      <c r="AK15">
        <v>1</v>
      </c>
      <c r="AL15">
        <v>36.87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21.89</v>
      </c>
      <c r="AU15" t="s">
        <v>28</v>
      </c>
      <c r="AV15">
        <v>1</v>
      </c>
      <c r="AW15">
        <v>2</v>
      </c>
      <c r="AX15">
        <v>55655305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65.4511</v>
      </c>
      <c r="CY15">
        <f>AD15</f>
        <v>301.23</v>
      </c>
      <c r="CZ15">
        <f>AH15</f>
        <v>8.17</v>
      </c>
      <c r="DA15">
        <f>AL15</f>
        <v>36.87</v>
      </c>
      <c r="DB15">
        <f>ROUND((ROUND(AT15*CZ15,2)*ROUND(1.15,7)),2)</f>
        <v>205.67</v>
      </c>
      <c r="DC15">
        <f>ROUND((ROUND(AT15*AG15,2)*ROUND(1.15,7)),2)</f>
        <v>0</v>
      </c>
    </row>
    <row r="16" spans="1:107" ht="12.75">
      <c r="A16">
        <f>ROW(Source!A29)</f>
        <v>29</v>
      </c>
      <c r="B16">
        <v>55468473</v>
      </c>
      <c r="C16">
        <v>55655290</v>
      </c>
      <c r="D16">
        <v>37822850</v>
      </c>
      <c r="E16">
        <v>70</v>
      </c>
      <c r="F16">
        <v>1</v>
      </c>
      <c r="G16">
        <v>1</v>
      </c>
      <c r="H16">
        <v>1</v>
      </c>
      <c r="I16" t="s">
        <v>246</v>
      </c>
      <c r="K16" t="s">
        <v>247</v>
      </c>
      <c r="L16">
        <v>1191</v>
      </c>
      <c r="N16">
        <v>1013</v>
      </c>
      <c r="O16" t="s">
        <v>245</v>
      </c>
      <c r="P16" t="s">
        <v>245</v>
      </c>
      <c r="Q16">
        <v>1</v>
      </c>
      <c r="W16">
        <v>0</v>
      </c>
      <c r="X16">
        <v>-1417349443</v>
      </c>
      <c r="Y16">
        <v>5.6499999999999995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36.87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4.52</v>
      </c>
      <c r="AU16" t="s">
        <v>27</v>
      </c>
      <c r="AV16">
        <v>2</v>
      </c>
      <c r="AW16">
        <v>2</v>
      </c>
      <c r="AX16">
        <v>55655306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14.69</v>
      </c>
      <c r="CY16">
        <f>AD16</f>
        <v>0</v>
      </c>
      <c r="CZ16">
        <f>AH16</f>
        <v>0</v>
      </c>
      <c r="DA16">
        <f>AL16</f>
        <v>1</v>
      </c>
      <c r="DB16">
        <f aca="true" t="shared" si="5" ref="DB16:DB23">ROUND((ROUND(AT16*CZ16,2)*ROUND(1.25,7)),2)</f>
        <v>0</v>
      </c>
      <c r="DC16">
        <f aca="true" t="shared" si="6" ref="DC16:DC23">ROUND((ROUND(AT16*AG16,2)*ROUND(1.25,7)),2)</f>
        <v>0</v>
      </c>
    </row>
    <row r="17" spans="1:107" ht="12.75">
      <c r="A17">
        <f>ROW(Source!A29)</f>
        <v>29</v>
      </c>
      <c r="B17">
        <v>55468473</v>
      </c>
      <c r="C17">
        <v>55655290</v>
      </c>
      <c r="D17">
        <v>53792151</v>
      </c>
      <c r="E17">
        <v>1</v>
      </c>
      <c r="F17">
        <v>1</v>
      </c>
      <c r="G17">
        <v>1</v>
      </c>
      <c r="H17">
        <v>2</v>
      </c>
      <c r="I17" t="s">
        <v>39</v>
      </c>
      <c r="J17" t="s">
        <v>42</v>
      </c>
      <c r="K17" t="s">
        <v>40</v>
      </c>
      <c r="L17">
        <v>1367</v>
      </c>
      <c r="N17">
        <v>1011</v>
      </c>
      <c r="O17" t="s">
        <v>41</v>
      </c>
      <c r="P17" t="s">
        <v>41</v>
      </c>
      <c r="Q17">
        <v>1</v>
      </c>
      <c r="W17">
        <v>1</v>
      </c>
      <c r="X17">
        <v>-896236776</v>
      </c>
      <c r="Y17">
        <v>-0.1625</v>
      </c>
      <c r="AA17">
        <v>0</v>
      </c>
      <c r="AB17">
        <v>1177.97</v>
      </c>
      <c r="AC17">
        <v>370.91</v>
      </c>
      <c r="AD17">
        <v>0</v>
      </c>
      <c r="AE17">
        <v>0</v>
      </c>
      <c r="AF17">
        <v>89.99</v>
      </c>
      <c r="AG17">
        <v>10.06</v>
      </c>
      <c r="AH17">
        <v>0</v>
      </c>
      <c r="AI17">
        <v>1</v>
      </c>
      <c r="AJ17">
        <v>13.09</v>
      </c>
      <c r="AK17">
        <v>36.87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-0.13</v>
      </c>
      <c r="AU17" t="s">
        <v>27</v>
      </c>
      <c r="AV17">
        <v>0</v>
      </c>
      <c r="AW17">
        <v>2</v>
      </c>
      <c r="AX17">
        <v>55655307</v>
      </c>
      <c r="AY17">
        <v>1</v>
      </c>
      <c r="AZ17">
        <v>6144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-0.42250000000000004</v>
      </c>
      <c r="CY17">
        <f aca="true" t="shared" si="7" ref="CY17:CY23">AB17</f>
        <v>1177.97</v>
      </c>
      <c r="CZ17">
        <f aca="true" t="shared" si="8" ref="CZ17:CZ23">AF17</f>
        <v>89.99</v>
      </c>
      <c r="DA17">
        <f aca="true" t="shared" si="9" ref="DA17:DA23">AJ17</f>
        <v>13.09</v>
      </c>
      <c r="DB17">
        <f t="shared" si="5"/>
        <v>-14.63</v>
      </c>
      <c r="DC17">
        <f t="shared" si="6"/>
        <v>-1.64</v>
      </c>
    </row>
    <row r="18" spans="1:107" ht="12.75">
      <c r="A18">
        <f>ROW(Source!A29)</f>
        <v>29</v>
      </c>
      <c r="B18">
        <v>55468473</v>
      </c>
      <c r="C18">
        <v>55655290</v>
      </c>
      <c r="D18">
        <v>53792398</v>
      </c>
      <c r="E18">
        <v>1</v>
      </c>
      <c r="F18">
        <v>1</v>
      </c>
      <c r="G18">
        <v>1</v>
      </c>
      <c r="H18">
        <v>2</v>
      </c>
      <c r="I18" t="s">
        <v>44</v>
      </c>
      <c r="J18" t="s">
        <v>46</v>
      </c>
      <c r="K18" t="s">
        <v>45</v>
      </c>
      <c r="L18">
        <v>1367</v>
      </c>
      <c r="N18">
        <v>1011</v>
      </c>
      <c r="O18" t="s">
        <v>41</v>
      </c>
      <c r="P18" t="s">
        <v>41</v>
      </c>
      <c r="Q18">
        <v>1</v>
      </c>
      <c r="W18">
        <v>1</v>
      </c>
      <c r="X18">
        <v>-1193409272</v>
      </c>
      <c r="Y18">
        <v>-0.75</v>
      </c>
      <c r="AA18">
        <v>0</v>
      </c>
      <c r="AB18">
        <v>392.7</v>
      </c>
      <c r="AC18">
        <v>0</v>
      </c>
      <c r="AD18">
        <v>0</v>
      </c>
      <c r="AE18">
        <v>0</v>
      </c>
      <c r="AF18">
        <v>30</v>
      </c>
      <c r="AG18">
        <v>0</v>
      </c>
      <c r="AH18">
        <v>0</v>
      </c>
      <c r="AI18">
        <v>1</v>
      </c>
      <c r="AJ18">
        <v>13.09</v>
      </c>
      <c r="AK18">
        <v>36.87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-0.6</v>
      </c>
      <c r="AU18" t="s">
        <v>27</v>
      </c>
      <c r="AV18">
        <v>0</v>
      </c>
      <c r="AW18">
        <v>2</v>
      </c>
      <c r="AX18">
        <v>55655308</v>
      </c>
      <c r="AY18">
        <v>1</v>
      </c>
      <c r="AZ18">
        <v>6144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-1.9500000000000002</v>
      </c>
      <c r="CY18">
        <f t="shared" si="7"/>
        <v>392.7</v>
      </c>
      <c r="CZ18">
        <f t="shared" si="8"/>
        <v>30</v>
      </c>
      <c r="DA18">
        <f t="shared" si="9"/>
        <v>13.09</v>
      </c>
      <c r="DB18">
        <f t="shared" si="5"/>
        <v>-22.5</v>
      </c>
      <c r="DC18">
        <f t="shared" si="6"/>
        <v>0</v>
      </c>
    </row>
    <row r="19" spans="1:107" ht="12.75">
      <c r="A19">
        <f>ROW(Source!A29)</f>
        <v>29</v>
      </c>
      <c r="B19">
        <v>55468473</v>
      </c>
      <c r="C19">
        <v>55655290</v>
      </c>
      <c r="D19">
        <v>53792440</v>
      </c>
      <c r="E19">
        <v>1</v>
      </c>
      <c r="F19">
        <v>1</v>
      </c>
      <c r="G19">
        <v>1</v>
      </c>
      <c r="H19">
        <v>2</v>
      </c>
      <c r="I19" t="s">
        <v>248</v>
      </c>
      <c r="J19" t="s">
        <v>249</v>
      </c>
      <c r="K19" t="s">
        <v>250</v>
      </c>
      <c r="L19">
        <v>1367</v>
      </c>
      <c r="N19">
        <v>1011</v>
      </c>
      <c r="O19" t="s">
        <v>41</v>
      </c>
      <c r="P19" t="s">
        <v>41</v>
      </c>
      <c r="Q19">
        <v>1</v>
      </c>
      <c r="W19">
        <v>0</v>
      </c>
      <c r="X19">
        <v>37242201</v>
      </c>
      <c r="Y19">
        <v>10.45</v>
      </c>
      <c r="AA19">
        <v>0</v>
      </c>
      <c r="AB19">
        <v>797.05</v>
      </c>
      <c r="AC19">
        <v>0</v>
      </c>
      <c r="AD19">
        <v>0</v>
      </c>
      <c r="AE19">
        <v>0</v>
      </c>
      <c r="AF19">
        <v>60.89</v>
      </c>
      <c r="AG19">
        <v>0</v>
      </c>
      <c r="AH19">
        <v>0</v>
      </c>
      <c r="AI19">
        <v>1</v>
      </c>
      <c r="AJ19">
        <v>13.09</v>
      </c>
      <c r="AK19">
        <v>36.87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8.36</v>
      </c>
      <c r="AU19" t="s">
        <v>27</v>
      </c>
      <c r="AV19">
        <v>0</v>
      </c>
      <c r="AW19">
        <v>2</v>
      </c>
      <c r="AX19">
        <v>55655309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27.169999999999998</v>
      </c>
      <c r="CY19">
        <f t="shared" si="7"/>
        <v>797.05</v>
      </c>
      <c r="CZ19">
        <f t="shared" si="8"/>
        <v>60.89</v>
      </c>
      <c r="DA19">
        <f t="shared" si="9"/>
        <v>13.09</v>
      </c>
      <c r="DB19">
        <f t="shared" si="5"/>
        <v>636.3</v>
      </c>
      <c r="DC19">
        <f t="shared" si="6"/>
        <v>0</v>
      </c>
    </row>
    <row r="20" spans="1:107" ht="12.75">
      <c r="A20">
        <f>ROW(Source!A29)</f>
        <v>29</v>
      </c>
      <c r="B20">
        <v>55468473</v>
      </c>
      <c r="C20">
        <v>55655290</v>
      </c>
      <c r="D20">
        <v>53792491</v>
      </c>
      <c r="E20">
        <v>1</v>
      </c>
      <c r="F20">
        <v>1</v>
      </c>
      <c r="G20">
        <v>1</v>
      </c>
      <c r="H20">
        <v>2</v>
      </c>
      <c r="I20" t="s">
        <v>251</v>
      </c>
      <c r="J20" t="s">
        <v>252</v>
      </c>
      <c r="K20" t="s">
        <v>253</v>
      </c>
      <c r="L20">
        <v>1367</v>
      </c>
      <c r="N20">
        <v>1011</v>
      </c>
      <c r="O20" t="s">
        <v>41</v>
      </c>
      <c r="P20" t="s">
        <v>41</v>
      </c>
      <c r="Q20">
        <v>1</v>
      </c>
      <c r="W20">
        <v>0</v>
      </c>
      <c r="X20">
        <v>-1920128845</v>
      </c>
      <c r="Y20">
        <v>4.0625</v>
      </c>
      <c r="AA20">
        <v>0</v>
      </c>
      <c r="AB20">
        <v>2294.02</v>
      </c>
      <c r="AC20">
        <v>427.69</v>
      </c>
      <c r="AD20">
        <v>0</v>
      </c>
      <c r="AE20">
        <v>0</v>
      </c>
      <c r="AF20">
        <v>175.25</v>
      </c>
      <c r="AG20">
        <v>11.6</v>
      </c>
      <c r="AH20">
        <v>0</v>
      </c>
      <c r="AI20">
        <v>1</v>
      </c>
      <c r="AJ20">
        <v>13.09</v>
      </c>
      <c r="AK20">
        <v>36.87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3.25</v>
      </c>
      <c r="AU20" t="s">
        <v>27</v>
      </c>
      <c r="AV20">
        <v>0</v>
      </c>
      <c r="AW20">
        <v>2</v>
      </c>
      <c r="AX20">
        <v>55655310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10.5625</v>
      </c>
      <c r="CY20">
        <f t="shared" si="7"/>
        <v>2294.02</v>
      </c>
      <c r="CZ20">
        <f t="shared" si="8"/>
        <v>175.25</v>
      </c>
      <c r="DA20">
        <f t="shared" si="9"/>
        <v>13.09</v>
      </c>
      <c r="DB20">
        <f t="shared" si="5"/>
        <v>711.95</v>
      </c>
      <c r="DC20">
        <f t="shared" si="6"/>
        <v>47.13</v>
      </c>
    </row>
    <row r="21" spans="1:107" ht="12.75">
      <c r="A21">
        <f>ROW(Source!A29)</f>
        <v>29</v>
      </c>
      <c r="B21">
        <v>55468473</v>
      </c>
      <c r="C21">
        <v>55655290</v>
      </c>
      <c r="D21">
        <v>53792874</v>
      </c>
      <c r="E21">
        <v>1</v>
      </c>
      <c r="F21">
        <v>1</v>
      </c>
      <c r="G21">
        <v>1</v>
      </c>
      <c r="H21">
        <v>2</v>
      </c>
      <c r="I21" t="s">
        <v>254</v>
      </c>
      <c r="J21" t="s">
        <v>255</v>
      </c>
      <c r="K21" t="s">
        <v>256</v>
      </c>
      <c r="L21">
        <v>1367</v>
      </c>
      <c r="N21">
        <v>1011</v>
      </c>
      <c r="O21" t="s">
        <v>41</v>
      </c>
      <c r="P21" t="s">
        <v>41</v>
      </c>
      <c r="Q21">
        <v>1</v>
      </c>
      <c r="W21">
        <v>0</v>
      </c>
      <c r="X21">
        <v>-859805338</v>
      </c>
      <c r="Y21">
        <v>1.1500000000000001</v>
      </c>
      <c r="AA21">
        <v>0</v>
      </c>
      <c r="AB21">
        <v>1439.9</v>
      </c>
      <c r="AC21">
        <v>427.69</v>
      </c>
      <c r="AD21">
        <v>0</v>
      </c>
      <c r="AE21">
        <v>0</v>
      </c>
      <c r="AF21">
        <v>110</v>
      </c>
      <c r="AG21">
        <v>11.6</v>
      </c>
      <c r="AH21">
        <v>0</v>
      </c>
      <c r="AI21">
        <v>1</v>
      </c>
      <c r="AJ21">
        <v>13.09</v>
      </c>
      <c r="AK21">
        <v>36.87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0.92</v>
      </c>
      <c r="AU21" t="s">
        <v>27</v>
      </c>
      <c r="AV21">
        <v>0</v>
      </c>
      <c r="AW21">
        <v>2</v>
      </c>
      <c r="AX21">
        <v>55655311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2.9900000000000007</v>
      </c>
      <c r="CY21">
        <f t="shared" si="7"/>
        <v>1439.9</v>
      </c>
      <c r="CZ21">
        <f t="shared" si="8"/>
        <v>110</v>
      </c>
      <c r="DA21">
        <f t="shared" si="9"/>
        <v>13.09</v>
      </c>
      <c r="DB21">
        <f t="shared" si="5"/>
        <v>126.5</v>
      </c>
      <c r="DC21">
        <f t="shared" si="6"/>
        <v>13.34</v>
      </c>
    </row>
    <row r="22" spans="1:107" ht="12.75">
      <c r="A22">
        <f>ROW(Source!A29)</f>
        <v>29</v>
      </c>
      <c r="B22">
        <v>55468473</v>
      </c>
      <c r="C22">
        <v>55655290</v>
      </c>
      <c r="D22">
        <v>53792927</v>
      </c>
      <c r="E22">
        <v>1</v>
      </c>
      <c r="F22">
        <v>1</v>
      </c>
      <c r="G22">
        <v>1</v>
      </c>
      <c r="H22">
        <v>2</v>
      </c>
      <c r="I22" t="s">
        <v>257</v>
      </c>
      <c r="J22" t="s">
        <v>258</v>
      </c>
      <c r="K22" t="s">
        <v>259</v>
      </c>
      <c r="L22">
        <v>1367</v>
      </c>
      <c r="N22">
        <v>1011</v>
      </c>
      <c r="O22" t="s">
        <v>41</v>
      </c>
      <c r="P22" t="s">
        <v>41</v>
      </c>
      <c r="Q22">
        <v>1</v>
      </c>
      <c r="W22">
        <v>0</v>
      </c>
      <c r="X22">
        <v>509054691</v>
      </c>
      <c r="Y22">
        <v>0.0375</v>
      </c>
      <c r="AA22">
        <v>0</v>
      </c>
      <c r="AB22">
        <v>860.14</v>
      </c>
      <c r="AC22">
        <v>427.69</v>
      </c>
      <c r="AD22">
        <v>0</v>
      </c>
      <c r="AE22">
        <v>0</v>
      </c>
      <c r="AF22">
        <v>65.71</v>
      </c>
      <c r="AG22">
        <v>11.6</v>
      </c>
      <c r="AH22">
        <v>0</v>
      </c>
      <c r="AI22">
        <v>1</v>
      </c>
      <c r="AJ22">
        <v>13.09</v>
      </c>
      <c r="AK22">
        <v>36.87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0.03</v>
      </c>
      <c r="AU22" t="s">
        <v>27</v>
      </c>
      <c r="AV22">
        <v>0</v>
      </c>
      <c r="AW22">
        <v>2</v>
      </c>
      <c r="AX22">
        <v>55655312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0.0975</v>
      </c>
      <c r="CY22">
        <f t="shared" si="7"/>
        <v>860.14</v>
      </c>
      <c r="CZ22">
        <f t="shared" si="8"/>
        <v>65.71</v>
      </c>
      <c r="DA22">
        <f t="shared" si="9"/>
        <v>13.09</v>
      </c>
      <c r="DB22">
        <f t="shared" si="5"/>
        <v>2.46</v>
      </c>
      <c r="DC22">
        <f t="shared" si="6"/>
        <v>0.44</v>
      </c>
    </row>
    <row r="23" spans="1:107" ht="12.75">
      <c r="A23">
        <f>ROW(Source!A29)</f>
        <v>29</v>
      </c>
      <c r="B23">
        <v>55468473</v>
      </c>
      <c r="C23">
        <v>55655290</v>
      </c>
      <c r="D23">
        <v>53793153</v>
      </c>
      <c r="E23">
        <v>1</v>
      </c>
      <c r="F23">
        <v>1</v>
      </c>
      <c r="G23">
        <v>1</v>
      </c>
      <c r="H23">
        <v>2</v>
      </c>
      <c r="I23" t="s">
        <v>48</v>
      </c>
      <c r="J23" t="s">
        <v>50</v>
      </c>
      <c r="K23" t="s">
        <v>49</v>
      </c>
      <c r="L23">
        <v>1367</v>
      </c>
      <c r="N23">
        <v>1011</v>
      </c>
      <c r="O23" t="s">
        <v>41</v>
      </c>
      <c r="P23" t="s">
        <v>41</v>
      </c>
      <c r="Q23">
        <v>1</v>
      </c>
      <c r="W23">
        <v>1</v>
      </c>
      <c r="X23">
        <v>-1111507504</v>
      </c>
      <c r="Y23">
        <v>-0.2375</v>
      </c>
      <c r="AA23">
        <v>0</v>
      </c>
      <c r="AB23">
        <v>1178.1</v>
      </c>
      <c r="AC23">
        <v>370.91</v>
      </c>
      <c r="AD23">
        <v>0</v>
      </c>
      <c r="AE23">
        <v>0</v>
      </c>
      <c r="AF23">
        <v>90</v>
      </c>
      <c r="AG23">
        <v>10.06</v>
      </c>
      <c r="AH23">
        <v>0</v>
      </c>
      <c r="AI23">
        <v>1</v>
      </c>
      <c r="AJ23">
        <v>13.09</v>
      </c>
      <c r="AK23">
        <v>36.87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-0.19</v>
      </c>
      <c r="AU23" t="s">
        <v>27</v>
      </c>
      <c r="AV23">
        <v>0</v>
      </c>
      <c r="AW23">
        <v>2</v>
      </c>
      <c r="AX23">
        <v>55655313</v>
      </c>
      <c r="AY23">
        <v>1</v>
      </c>
      <c r="AZ23">
        <v>6144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-0.6174999999999999</v>
      </c>
      <c r="CY23">
        <f t="shared" si="7"/>
        <v>1178.1</v>
      </c>
      <c r="CZ23">
        <f t="shared" si="8"/>
        <v>90</v>
      </c>
      <c r="DA23">
        <f t="shared" si="9"/>
        <v>13.09</v>
      </c>
      <c r="DB23">
        <f t="shared" si="5"/>
        <v>-21.38</v>
      </c>
      <c r="DC23">
        <f t="shared" si="6"/>
        <v>-2.39</v>
      </c>
    </row>
    <row r="24" spans="1:107" ht="12.75">
      <c r="A24">
        <f>ROW(Source!A29)</f>
        <v>29</v>
      </c>
      <c r="B24">
        <v>55468473</v>
      </c>
      <c r="C24">
        <v>55655290</v>
      </c>
      <c r="D24">
        <v>53640649</v>
      </c>
      <c r="E24">
        <v>1</v>
      </c>
      <c r="F24">
        <v>1</v>
      </c>
      <c r="G24">
        <v>1</v>
      </c>
      <c r="H24">
        <v>3</v>
      </c>
      <c r="I24" t="s">
        <v>260</v>
      </c>
      <c r="J24" t="s">
        <v>261</v>
      </c>
      <c r="K24" t="s">
        <v>262</v>
      </c>
      <c r="L24">
        <v>1348</v>
      </c>
      <c r="N24">
        <v>1009</v>
      </c>
      <c r="O24" t="s">
        <v>138</v>
      </c>
      <c r="P24" t="s">
        <v>138</v>
      </c>
      <c r="Q24">
        <v>1000</v>
      </c>
      <c r="W24">
        <v>0</v>
      </c>
      <c r="X24">
        <v>-44402568</v>
      </c>
      <c r="Y24">
        <v>0.01</v>
      </c>
      <c r="AA24">
        <v>11238.5</v>
      </c>
      <c r="AB24">
        <v>0</v>
      </c>
      <c r="AC24">
        <v>0</v>
      </c>
      <c r="AD24">
        <v>0</v>
      </c>
      <c r="AE24">
        <v>1690</v>
      </c>
      <c r="AF24">
        <v>0</v>
      </c>
      <c r="AG24">
        <v>0</v>
      </c>
      <c r="AH24">
        <v>0</v>
      </c>
      <c r="AI24">
        <v>6.65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0.01</v>
      </c>
      <c r="AV24">
        <v>0</v>
      </c>
      <c r="AW24">
        <v>2</v>
      </c>
      <c r="AX24">
        <v>55655314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0.026000000000000002</v>
      </c>
      <c r="CY24">
        <f>AA24</f>
        <v>11238.5</v>
      </c>
      <c r="CZ24">
        <f>AE24</f>
        <v>1690</v>
      </c>
      <c r="DA24">
        <f>AI24</f>
        <v>6.65</v>
      </c>
      <c r="DB24">
        <f aca="true" t="shared" si="10" ref="DB24:DB38">ROUND(ROUND(AT24*CZ24,2),2)</f>
        <v>16.9</v>
      </c>
      <c r="DC24">
        <f aca="true" t="shared" si="11" ref="DC24:DC38">ROUND(ROUND(AT24*AG24,2),2)</f>
        <v>0</v>
      </c>
    </row>
    <row r="25" spans="1:107" ht="12.75">
      <c r="A25">
        <f>ROW(Source!A29)</f>
        <v>29</v>
      </c>
      <c r="B25">
        <v>55468473</v>
      </c>
      <c r="C25">
        <v>55655290</v>
      </c>
      <c r="D25">
        <v>53640725</v>
      </c>
      <c r="E25">
        <v>1</v>
      </c>
      <c r="F25">
        <v>1</v>
      </c>
      <c r="G25">
        <v>1</v>
      </c>
      <c r="H25">
        <v>3</v>
      </c>
      <c r="I25" t="s">
        <v>263</v>
      </c>
      <c r="J25" t="s">
        <v>264</v>
      </c>
      <c r="K25" t="s">
        <v>265</v>
      </c>
      <c r="L25">
        <v>1348</v>
      </c>
      <c r="N25">
        <v>1009</v>
      </c>
      <c r="O25" t="s">
        <v>138</v>
      </c>
      <c r="P25" t="s">
        <v>138</v>
      </c>
      <c r="Q25">
        <v>1000</v>
      </c>
      <c r="W25">
        <v>0</v>
      </c>
      <c r="X25">
        <v>1508494229</v>
      </c>
      <c r="Y25">
        <v>0.07</v>
      </c>
      <c r="AA25">
        <v>9975</v>
      </c>
      <c r="AB25">
        <v>0</v>
      </c>
      <c r="AC25">
        <v>0</v>
      </c>
      <c r="AD25">
        <v>0</v>
      </c>
      <c r="AE25">
        <v>1500</v>
      </c>
      <c r="AF25">
        <v>0</v>
      </c>
      <c r="AG25">
        <v>0</v>
      </c>
      <c r="AH25">
        <v>0</v>
      </c>
      <c r="AI25">
        <v>6.65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0.07</v>
      </c>
      <c r="AV25">
        <v>0</v>
      </c>
      <c r="AW25">
        <v>2</v>
      </c>
      <c r="AX25">
        <v>55655315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0.18200000000000002</v>
      </c>
      <c r="CY25">
        <f>AA25</f>
        <v>9975</v>
      </c>
      <c r="CZ25">
        <f>AE25</f>
        <v>1500</v>
      </c>
      <c r="DA25">
        <f>AI25</f>
        <v>6.65</v>
      </c>
      <c r="DB25">
        <f t="shared" si="10"/>
        <v>105</v>
      </c>
      <c r="DC25">
        <f t="shared" si="11"/>
        <v>0</v>
      </c>
    </row>
    <row r="26" spans="1:107" ht="12.75">
      <c r="A26">
        <f>ROW(Source!A29)</f>
        <v>29</v>
      </c>
      <c r="B26">
        <v>55468473</v>
      </c>
      <c r="C26">
        <v>55655290</v>
      </c>
      <c r="D26">
        <v>53642555</v>
      </c>
      <c r="E26">
        <v>1</v>
      </c>
      <c r="F26">
        <v>1</v>
      </c>
      <c r="G26">
        <v>1</v>
      </c>
      <c r="H26">
        <v>3</v>
      </c>
      <c r="I26" t="s">
        <v>266</v>
      </c>
      <c r="J26" t="s">
        <v>267</v>
      </c>
      <c r="K26" t="s">
        <v>268</v>
      </c>
      <c r="L26">
        <v>1339</v>
      </c>
      <c r="N26">
        <v>1007</v>
      </c>
      <c r="O26" t="s">
        <v>269</v>
      </c>
      <c r="P26" t="s">
        <v>269</v>
      </c>
      <c r="Q26">
        <v>1</v>
      </c>
      <c r="W26">
        <v>0</v>
      </c>
      <c r="X26">
        <v>-143474561</v>
      </c>
      <c r="Y26">
        <v>3.5</v>
      </c>
      <c r="AA26">
        <v>16.23</v>
      </c>
      <c r="AB26">
        <v>0</v>
      </c>
      <c r="AC26">
        <v>0</v>
      </c>
      <c r="AD26">
        <v>0</v>
      </c>
      <c r="AE26">
        <v>2.44</v>
      </c>
      <c r="AF26">
        <v>0</v>
      </c>
      <c r="AG26">
        <v>0</v>
      </c>
      <c r="AH26">
        <v>0</v>
      </c>
      <c r="AI26">
        <v>6.65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3.5</v>
      </c>
      <c r="AV26">
        <v>0</v>
      </c>
      <c r="AW26">
        <v>2</v>
      </c>
      <c r="AX26">
        <v>55655316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9.1</v>
      </c>
      <c r="CY26">
        <f>AA26</f>
        <v>16.23</v>
      </c>
      <c r="CZ26">
        <f>AE26</f>
        <v>2.44</v>
      </c>
      <c r="DA26">
        <f>AI26</f>
        <v>6.65</v>
      </c>
      <c r="DB26">
        <f t="shared" si="10"/>
        <v>8.54</v>
      </c>
      <c r="DC26">
        <f t="shared" si="11"/>
        <v>0</v>
      </c>
    </row>
    <row r="27" spans="1:107" ht="12.75">
      <c r="A27">
        <f>ROW(Source!A29)</f>
        <v>29</v>
      </c>
      <c r="B27">
        <v>55468473</v>
      </c>
      <c r="C27">
        <v>55655290</v>
      </c>
      <c r="D27">
        <v>53643153</v>
      </c>
      <c r="E27">
        <v>1</v>
      </c>
      <c r="F27">
        <v>1</v>
      </c>
      <c r="G27">
        <v>1</v>
      </c>
      <c r="H27">
        <v>3</v>
      </c>
      <c r="I27" t="s">
        <v>270</v>
      </c>
      <c r="J27" t="s">
        <v>271</v>
      </c>
      <c r="K27" t="s">
        <v>272</v>
      </c>
      <c r="L27">
        <v>1302</v>
      </c>
      <c r="N27">
        <v>1003</v>
      </c>
      <c r="O27" t="s">
        <v>273</v>
      </c>
      <c r="P27" t="s">
        <v>273</v>
      </c>
      <c r="Q27">
        <v>10</v>
      </c>
      <c r="W27">
        <v>0</v>
      </c>
      <c r="X27">
        <v>-1959164277</v>
      </c>
      <c r="Y27">
        <v>10</v>
      </c>
      <c r="AA27">
        <v>111.72</v>
      </c>
      <c r="AB27">
        <v>0</v>
      </c>
      <c r="AC27">
        <v>0</v>
      </c>
      <c r="AD27">
        <v>0</v>
      </c>
      <c r="AE27">
        <v>16.8</v>
      </c>
      <c r="AF27">
        <v>0</v>
      </c>
      <c r="AG27">
        <v>0</v>
      </c>
      <c r="AH27">
        <v>0</v>
      </c>
      <c r="AI27">
        <v>6.65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10</v>
      </c>
      <c r="AV27">
        <v>0</v>
      </c>
      <c r="AW27">
        <v>2</v>
      </c>
      <c r="AX27">
        <v>55655317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26</v>
      </c>
      <c r="CY27">
        <f>AA27</f>
        <v>111.72</v>
      </c>
      <c r="CZ27">
        <f>AE27</f>
        <v>16.8</v>
      </c>
      <c r="DA27">
        <f>AI27</f>
        <v>6.65</v>
      </c>
      <c r="DB27">
        <f t="shared" si="10"/>
        <v>168</v>
      </c>
      <c r="DC27">
        <f t="shared" si="11"/>
        <v>0</v>
      </c>
    </row>
    <row r="28" spans="1:107" ht="12.75">
      <c r="A28">
        <f>ROW(Source!A29)</f>
        <v>29</v>
      </c>
      <c r="B28">
        <v>55468473</v>
      </c>
      <c r="C28">
        <v>55655290</v>
      </c>
      <c r="D28">
        <v>53646859</v>
      </c>
      <c r="E28">
        <v>1</v>
      </c>
      <c r="F28">
        <v>1</v>
      </c>
      <c r="G28">
        <v>1</v>
      </c>
      <c r="H28">
        <v>3</v>
      </c>
      <c r="I28" t="s">
        <v>274</v>
      </c>
      <c r="J28" t="s">
        <v>275</v>
      </c>
      <c r="K28" t="s">
        <v>276</v>
      </c>
      <c r="L28">
        <v>1339</v>
      </c>
      <c r="N28">
        <v>1007</v>
      </c>
      <c r="O28" t="s">
        <v>269</v>
      </c>
      <c r="P28" t="s">
        <v>269</v>
      </c>
      <c r="Q28">
        <v>1</v>
      </c>
      <c r="W28">
        <v>0</v>
      </c>
      <c r="X28">
        <v>458429195</v>
      </c>
      <c r="Y28">
        <v>2</v>
      </c>
      <c r="AA28">
        <v>398.93</v>
      </c>
      <c r="AB28">
        <v>0</v>
      </c>
      <c r="AC28">
        <v>0</v>
      </c>
      <c r="AD28">
        <v>0</v>
      </c>
      <c r="AE28">
        <v>59.99</v>
      </c>
      <c r="AF28">
        <v>0</v>
      </c>
      <c r="AG28">
        <v>0</v>
      </c>
      <c r="AH28">
        <v>0</v>
      </c>
      <c r="AI28">
        <v>6.65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2</v>
      </c>
      <c r="AV28">
        <v>0</v>
      </c>
      <c r="AW28">
        <v>2</v>
      </c>
      <c r="AX28">
        <v>55655318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5.2</v>
      </c>
      <c r="CY28">
        <f>AA28</f>
        <v>398.93</v>
      </c>
      <c r="CZ28">
        <f>AE28</f>
        <v>59.99</v>
      </c>
      <c r="DA28">
        <f>AI28</f>
        <v>6.65</v>
      </c>
      <c r="DB28">
        <f t="shared" si="10"/>
        <v>119.98</v>
      </c>
      <c r="DC28">
        <f t="shared" si="11"/>
        <v>0</v>
      </c>
    </row>
    <row r="29" spans="1:107" ht="12.75">
      <c r="A29">
        <f>ROW(Source!A36)</f>
        <v>36</v>
      </c>
      <c r="B29">
        <v>55468472</v>
      </c>
      <c r="C29">
        <v>55469137</v>
      </c>
      <c r="D29">
        <v>53630069</v>
      </c>
      <c r="E29">
        <v>70</v>
      </c>
      <c r="F29">
        <v>1</v>
      </c>
      <c r="G29">
        <v>1</v>
      </c>
      <c r="H29">
        <v>1</v>
      </c>
      <c r="I29" t="s">
        <v>277</v>
      </c>
      <c r="K29" t="s">
        <v>278</v>
      </c>
      <c r="L29">
        <v>1191</v>
      </c>
      <c r="N29">
        <v>1013</v>
      </c>
      <c r="O29" t="s">
        <v>245</v>
      </c>
      <c r="P29" t="s">
        <v>245</v>
      </c>
      <c r="Q29">
        <v>1</v>
      </c>
      <c r="W29">
        <v>0</v>
      </c>
      <c r="X29">
        <v>-983457869</v>
      </c>
      <c r="Y29">
        <v>68.26</v>
      </c>
      <c r="AA29">
        <v>0</v>
      </c>
      <c r="AB29">
        <v>0</v>
      </c>
      <c r="AC29">
        <v>0</v>
      </c>
      <c r="AD29">
        <v>8.64</v>
      </c>
      <c r="AE29">
        <v>0</v>
      </c>
      <c r="AF29">
        <v>0</v>
      </c>
      <c r="AG29">
        <v>0</v>
      </c>
      <c r="AH29">
        <v>8.64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68.26</v>
      </c>
      <c r="AV29">
        <v>1</v>
      </c>
      <c r="AW29">
        <v>2</v>
      </c>
      <c r="AX29">
        <v>55469138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Y29*Source!I36</f>
        <v>93.51620000000001</v>
      </c>
      <c r="CY29">
        <f>AD29</f>
        <v>8.64</v>
      </c>
      <c r="CZ29">
        <f>AH29</f>
        <v>8.64</v>
      </c>
      <c r="DA29">
        <f>AL29</f>
        <v>1</v>
      </c>
      <c r="DB29">
        <f t="shared" si="10"/>
        <v>589.77</v>
      </c>
      <c r="DC29">
        <f t="shared" si="11"/>
        <v>0</v>
      </c>
    </row>
    <row r="30" spans="1:107" ht="12.75">
      <c r="A30">
        <f>ROW(Source!A36)</f>
        <v>36</v>
      </c>
      <c r="B30">
        <v>55468472</v>
      </c>
      <c r="C30">
        <v>55469137</v>
      </c>
      <c r="D30">
        <v>53630257</v>
      </c>
      <c r="E30">
        <v>70</v>
      </c>
      <c r="F30">
        <v>1</v>
      </c>
      <c r="G30">
        <v>1</v>
      </c>
      <c r="H30">
        <v>1</v>
      </c>
      <c r="I30" t="s">
        <v>246</v>
      </c>
      <c r="K30" t="s">
        <v>247</v>
      </c>
      <c r="L30">
        <v>1191</v>
      </c>
      <c r="N30">
        <v>1013</v>
      </c>
      <c r="O30" t="s">
        <v>245</v>
      </c>
      <c r="P30" t="s">
        <v>245</v>
      </c>
      <c r="Q30">
        <v>1</v>
      </c>
      <c r="W30">
        <v>0</v>
      </c>
      <c r="X30">
        <v>-1417349443</v>
      </c>
      <c r="Y30">
        <v>9.4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9.4</v>
      </c>
      <c r="AV30">
        <v>2</v>
      </c>
      <c r="AW30">
        <v>2</v>
      </c>
      <c r="AX30">
        <v>55469139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Y30*Source!I36</f>
        <v>12.878000000000002</v>
      </c>
      <c r="CY30">
        <f>AD30</f>
        <v>0</v>
      </c>
      <c r="CZ30">
        <f>AH30</f>
        <v>0</v>
      </c>
      <c r="DA30">
        <f>AL30</f>
        <v>1</v>
      </c>
      <c r="DB30">
        <f t="shared" si="10"/>
        <v>0</v>
      </c>
      <c r="DC30">
        <f t="shared" si="11"/>
        <v>0</v>
      </c>
    </row>
    <row r="31" spans="1:107" ht="12.75">
      <c r="A31">
        <f>ROW(Source!A36)</f>
        <v>36</v>
      </c>
      <c r="B31">
        <v>55468472</v>
      </c>
      <c r="C31">
        <v>55469137</v>
      </c>
      <c r="D31">
        <v>53793153</v>
      </c>
      <c r="E31">
        <v>1</v>
      </c>
      <c r="F31">
        <v>1</v>
      </c>
      <c r="G31">
        <v>1</v>
      </c>
      <c r="H31">
        <v>2</v>
      </c>
      <c r="I31" t="s">
        <v>48</v>
      </c>
      <c r="J31" t="s">
        <v>50</v>
      </c>
      <c r="K31" t="s">
        <v>49</v>
      </c>
      <c r="L31">
        <v>1367</v>
      </c>
      <c r="N31">
        <v>1011</v>
      </c>
      <c r="O31" t="s">
        <v>41</v>
      </c>
      <c r="P31" t="s">
        <v>41</v>
      </c>
      <c r="Q31">
        <v>1</v>
      </c>
      <c r="W31">
        <v>0</v>
      </c>
      <c r="X31">
        <v>-1111507504</v>
      </c>
      <c r="Y31">
        <v>9.4</v>
      </c>
      <c r="AA31">
        <v>0</v>
      </c>
      <c r="AB31">
        <v>90</v>
      </c>
      <c r="AC31">
        <v>10.06</v>
      </c>
      <c r="AD31">
        <v>0</v>
      </c>
      <c r="AE31">
        <v>0</v>
      </c>
      <c r="AF31">
        <v>90</v>
      </c>
      <c r="AG31">
        <v>10.06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9.4</v>
      </c>
      <c r="AV31">
        <v>0</v>
      </c>
      <c r="AW31">
        <v>2</v>
      </c>
      <c r="AX31">
        <v>55469140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Y31*Source!I36</f>
        <v>12.878000000000002</v>
      </c>
      <c r="CY31">
        <f>AB31</f>
        <v>90</v>
      </c>
      <c r="CZ31">
        <f>AF31</f>
        <v>90</v>
      </c>
      <c r="DA31">
        <f>AJ31</f>
        <v>1</v>
      </c>
      <c r="DB31">
        <f t="shared" si="10"/>
        <v>846</v>
      </c>
      <c r="DC31">
        <f t="shared" si="11"/>
        <v>94.56</v>
      </c>
    </row>
    <row r="32" spans="1:107" ht="12.75">
      <c r="A32">
        <f>ROW(Source!A36)</f>
        <v>36</v>
      </c>
      <c r="B32">
        <v>55468472</v>
      </c>
      <c r="C32">
        <v>55469137</v>
      </c>
      <c r="D32">
        <v>53793615</v>
      </c>
      <c r="E32">
        <v>1</v>
      </c>
      <c r="F32">
        <v>1</v>
      </c>
      <c r="G32">
        <v>1</v>
      </c>
      <c r="H32">
        <v>2</v>
      </c>
      <c r="I32" t="s">
        <v>279</v>
      </c>
      <c r="J32" t="s">
        <v>280</v>
      </c>
      <c r="K32" t="s">
        <v>281</v>
      </c>
      <c r="L32">
        <v>1367</v>
      </c>
      <c r="N32">
        <v>1011</v>
      </c>
      <c r="O32" t="s">
        <v>41</v>
      </c>
      <c r="P32" t="s">
        <v>41</v>
      </c>
      <c r="Q32">
        <v>1</v>
      </c>
      <c r="W32">
        <v>0</v>
      </c>
      <c r="X32">
        <v>1998121820</v>
      </c>
      <c r="Y32">
        <v>28.2</v>
      </c>
      <c r="AA32">
        <v>0</v>
      </c>
      <c r="AB32">
        <v>1.53</v>
      </c>
      <c r="AC32">
        <v>0</v>
      </c>
      <c r="AD32">
        <v>0</v>
      </c>
      <c r="AE32">
        <v>0</v>
      </c>
      <c r="AF32">
        <v>1.53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28.2</v>
      </c>
      <c r="AV32">
        <v>0</v>
      </c>
      <c r="AW32">
        <v>2</v>
      </c>
      <c r="AX32">
        <v>55469141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Y32*Source!I36</f>
        <v>38.634</v>
      </c>
      <c r="CY32">
        <f>AB32</f>
        <v>1.53</v>
      </c>
      <c r="CZ32">
        <f>AF32</f>
        <v>1.53</v>
      </c>
      <c r="DA32">
        <f>AJ32</f>
        <v>1</v>
      </c>
      <c r="DB32">
        <f t="shared" si="10"/>
        <v>43.15</v>
      </c>
      <c r="DC32">
        <f t="shared" si="11"/>
        <v>0</v>
      </c>
    </row>
    <row r="33" spans="1:107" ht="12.75">
      <c r="A33">
        <f>ROW(Source!A37)</f>
        <v>37</v>
      </c>
      <c r="B33">
        <v>55468473</v>
      </c>
      <c r="C33">
        <v>55469137</v>
      </c>
      <c r="D33">
        <v>53630069</v>
      </c>
      <c r="E33">
        <v>70</v>
      </c>
      <c r="F33">
        <v>1</v>
      </c>
      <c r="G33">
        <v>1</v>
      </c>
      <c r="H33">
        <v>1</v>
      </c>
      <c r="I33" t="s">
        <v>277</v>
      </c>
      <c r="K33" t="s">
        <v>278</v>
      </c>
      <c r="L33">
        <v>1191</v>
      </c>
      <c r="N33">
        <v>1013</v>
      </c>
      <c r="O33" t="s">
        <v>245</v>
      </c>
      <c r="P33" t="s">
        <v>245</v>
      </c>
      <c r="Q33">
        <v>1</v>
      </c>
      <c r="W33">
        <v>0</v>
      </c>
      <c r="X33">
        <v>-983457869</v>
      </c>
      <c r="Y33">
        <v>68.26</v>
      </c>
      <c r="AA33">
        <v>0</v>
      </c>
      <c r="AB33">
        <v>0</v>
      </c>
      <c r="AC33">
        <v>0</v>
      </c>
      <c r="AD33">
        <v>318.56</v>
      </c>
      <c r="AE33">
        <v>0</v>
      </c>
      <c r="AF33">
        <v>0</v>
      </c>
      <c r="AG33">
        <v>0</v>
      </c>
      <c r="AH33">
        <v>8.64</v>
      </c>
      <c r="AI33">
        <v>1</v>
      </c>
      <c r="AJ33">
        <v>1</v>
      </c>
      <c r="AK33">
        <v>1</v>
      </c>
      <c r="AL33">
        <v>36.87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68.26</v>
      </c>
      <c r="AV33">
        <v>1</v>
      </c>
      <c r="AW33">
        <v>2</v>
      </c>
      <c r="AX33">
        <v>55469138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Y33*Source!I37</f>
        <v>93.51620000000001</v>
      </c>
      <c r="CY33">
        <f>AD33</f>
        <v>318.56</v>
      </c>
      <c r="CZ33">
        <f>AH33</f>
        <v>8.64</v>
      </c>
      <c r="DA33">
        <f>AL33</f>
        <v>36.87</v>
      </c>
      <c r="DB33">
        <f t="shared" si="10"/>
        <v>589.77</v>
      </c>
      <c r="DC33">
        <f t="shared" si="11"/>
        <v>0</v>
      </c>
    </row>
    <row r="34" spans="1:107" ht="12.75">
      <c r="A34">
        <f>ROW(Source!A37)</f>
        <v>37</v>
      </c>
      <c r="B34">
        <v>55468473</v>
      </c>
      <c r="C34">
        <v>55469137</v>
      </c>
      <c r="D34">
        <v>53630257</v>
      </c>
      <c r="E34">
        <v>70</v>
      </c>
      <c r="F34">
        <v>1</v>
      </c>
      <c r="G34">
        <v>1</v>
      </c>
      <c r="H34">
        <v>1</v>
      </c>
      <c r="I34" t="s">
        <v>246</v>
      </c>
      <c r="K34" t="s">
        <v>247</v>
      </c>
      <c r="L34">
        <v>1191</v>
      </c>
      <c r="N34">
        <v>1013</v>
      </c>
      <c r="O34" t="s">
        <v>245</v>
      </c>
      <c r="P34" t="s">
        <v>245</v>
      </c>
      <c r="Q34">
        <v>1</v>
      </c>
      <c r="W34">
        <v>0</v>
      </c>
      <c r="X34">
        <v>-1417349443</v>
      </c>
      <c r="Y34">
        <v>9.4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36.87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9.4</v>
      </c>
      <c r="AV34">
        <v>2</v>
      </c>
      <c r="AW34">
        <v>2</v>
      </c>
      <c r="AX34">
        <v>55469139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Y34*Source!I37</f>
        <v>12.878000000000002</v>
      </c>
      <c r="CY34">
        <f>AD34</f>
        <v>0</v>
      </c>
      <c r="CZ34">
        <f>AH34</f>
        <v>0</v>
      </c>
      <c r="DA34">
        <f>AL34</f>
        <v>1</v>
      </c>
      <c r="DB34">
        <f t="shared" si="10"/>
        <v>0</v>
      </c>
      <c r="DC34">
        <f t="shared" si="11"/>
        <v>0</v>
      </c>
    </row>
    <row r="35" spans="1:107" ht="12.75">
      <c r="A35">
        <f>ROW(Source!A37)</f>
        <v>37</v>
      </c>
      <c r="B35">
        <v>55468473</v>
      </c>
      <c r="C35">
        <v>55469137</v>
      </c>
      <c r="D35">
        <v>53793153</v>
      </c>
      <c r="E35">
        <v>1</v>
      </c>
      <c r="F35">
        <v>1</v>
      </c>
      <c r="G35">
        <v>1</v>
      </c>
      <c r="H35">
        <v>2</v>
      </c>
      <c r="I35" t="s">
        <v>48</v>
      </c>
      <c r="J35" t="s">
        <v>50</v>
      </c>
      <c r="K35" t="s">
        <v>49</v>
      </c>
      <c r="L35">
        <v>1367</v>
      </c>
      <c r="N35">
        <v>1011</v>
      </c>
      <c r="O35" t="s">
        <v>41</v>
      </c>
      <c r="P35" t="s">
        <v>41</v>
      </c>
      <c r="Q35">
        <v>1</v>
      </c>
      <c r="W35">
        <v>0</v>
      </c>
      <c r="X35">
        <v>-1111507504</v>
      </c>
      <c r="Y35">
        <v>9.4</v>
      </c>
      <c r="AA35">
        <v>0</v>
      </c>
      <c r="AB35">
        <v>1178.1</v>
      </c>
      <c r="AC35">
        <v>370.91</v>
      </c>
      <c r="AD35">
        <v>0</v>
      </c>
      <c r="AE35">
        <v>0</v>
      </c>
      <c r="AF35">
        <v>90</v>
      </c>
      <c r="AG35">
        <v>10.06</v>
      </c>
      <c r="AH35">
        <v>0</v>
      </c>
      <c r="AI35">
        <v>1</v>
      </c>
      <c r="AJ35">
        <v>13.09</v>
      </c>
      <c r="AK35">
        <v>36.87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9.4</v>
      </c>
      <c r="AV35">
        <v>0</v>
      </c>
      <c r="AW35">
        <v>2</v>
      </c>
      <c r="AX35">
        <v>55469140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Y35*Source!I37</f>
        <v>12.878000000000002</v>
      </c>
      <c r="CY35">
        <f>AB35</f>
        <v>1178.1</v>
      </c>
      <c r="CZ35">
        <f>AF35</f>
        <v>90</v>
      </c>
      <c r="DA35">
        <f>AJ35</f>
        <v>13.09</v>
      </c>
      <c r="DB35">
        <f t="shared" si="10"/>
        <v>846</v>
      </c>
      <c r="DC35">
        <f t="shared" si="11"/>
        <v>94.56</v>
      </c>
    </row>
    <row r="36" spans="1:107" ht="12.75">
      <c r="A36">
        <f>ROW(Source!A37)</f>
        <v>37</v>
      </c>
      <c r="B36">
        <v>55468473</v>
      </c>
      <c r="C36">
        <v>55469137</v>
      </c>
      <c r="D36">
        <v>53793615</v>
      </c>
      <c r="E36">
        <v>1</v>
      </c>
      <c r="F36">
        <v>1</v>
      </c>
      <c r="G36">
        <v>1</v>
      </c>
      <c r="H36">
        <v>2</v>
      </c>
      <c r="I36" t="s">
        <v>279</v>
      </c>
      <c r="J36" t="s">
        <v>280</v>
      </c>
      <c r="K36" t="s">
        <v>281</v>
      </c>
      <c r="L36">
        <v>1367</v>
      </c>
      <c r="N36">
        <v>1011</v>
      </c>
      <c r="O36" t="s">
        <v>41</v>
      </c>
      <c r="P36" t="s">
        <v>41</v>
      </c>
      <c r="Q36">
        <v>1</v>
      </c>
      <c r="W36">
        <v>0</v>
      </c>
      <c r="X36">
        <v>1998121820</v>
      </c>
      <c r="Y36">
        <v>28.2</v>
      </c>
      <c r="AA36">
        <v>0</v>
      </c>
      <c r="AB36">
        <v>20.03</v>
      </c>
      <c r="AC36">
        <v>0</v>
      </c>
      <c r="AD36">
        <v>0</v>
      </c>
      <c r="AE36">
        <v>0</v>
      </c>
      <c r="AF36">
        <v>1.53</v>
      </c>
      <c r="AG36">
        <v>0</v>
      </c>
      <c r="AH36">
        <v>0</v>
      </c>
      <c r="AI36">
        <v>1</v>
      </c>
      <c r="AJ36">
        <v>13.09</v>
      </c>
      <c r="AK36">
        <v>36.87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28.2</v>
      </c>
      <c r="AV36">
        <v>0</v>
      </c>
      <c r="AW36">
        <v>2</v>
      </c>
      <c r="AX36">
        <v>55469141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Y36*Source!I37</f>
        <v>38.634</v>
      </c>
      <c r="CY36">
        <f>AB36</f>
        <v>20.03</v>
      </c>
      <c r="CZ36">
        <f>AF36</f>
        <v>1.53</v>
      </c>
      <c r="DA36">
        <f>AJ36</f>
        <v>13.09</v>
      </c>
      <c r="DB36">
        <f t="shared" si="10"/>
        <v>43.15</v>
      </c>
      <c r="DC36">
        <f t="shared" si="11"/>
        <v>0</v>
      </c>
    </row>
    <row r="37" spans="1:107" ht="12.75">
      <c r="A37">
        <f>ROW(Source!A38)</f>
        <v>38</v>
      </c>
      <c r="B37">
        <v>55468472</v>
      </c>
      <c r="C37">
        <v>55638420</v>
      </c>
      <c r="D37">
        <v>53630033</v>
      </c>
      <c r="E37">
        <v>70</v>
      </c>
      <c r="F37">
        <v>1</v>
      </c>
      <c r="G37">
        <v>1</v>
      </c>
      <c r="H37">
        <v>1</v>
      </c>
      <c r="I37" t="s">
        <v>282</v>
      </c>
      <c r="K37" t="s">
        <v>283</v>
      </c>
      <c r="L37">
        <v>1191</v>
      </c>
      <c r="N37">
        <v>1013</v>
      </c>
      <c r="O37" t="s">
        <v>245</v>
      </c>
      <c r="P37" t="s">
        <v>245</v>
      </c>
      <c r="Q37">
        <v>1</v>
      </c>
      <c r="W37">
        <v>0</v>
      </c>
      <c r="X37">
        <v>2031828327</v>
      </c>
      <c r="Y37">
        <v>59.6</v>
      </c>
      <c r="AA37">
        <v>0</v>
      </c>
      <c r="AB37">
        <v>0</v>
      </c>
      <c r="AC37">
        <v>0</v>
      </c>
      <c r="AD37">
        <v>7.8</v>
      </c>
      <c r="AE37">
        <v>0</v>
      </c>
      <c r="AF37">
        <v>0</v>
      </c>
      <c r="AG37">
        <v>0</v>
      </c>
      <c r="AH37">
        <v>7.8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59.6</v>
      </c>
      <c r="AV37">
        <v>1</v>
      </c>
      <c r="AW37">
        <v>2</v>
      </c>
      <c r="AX37">
        <v>55638421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Y37*Source!I38</f>
        <v>4.47</v>
      </c>
      <c r="CY37">
        <f>AD37</f>
        <v>7.8</v>
      </c>
      <c r="CZ37">
        <f>AH37</f>
        <v>7.8</v>
      </c>
      <c r="DA37">
        <f>AL37</f>
        <v>1</v>
      </c>
      <c r="DB37">
        <f t="shared" si="10"/>
        <v>464.88</v>
      </c>
      <c r="DC37">
        <f t="shared" si="11"/>
        <v>0</v>
      </c>
    </row>
    <row r="38" spans="1:107" ht="12.75">
      <c r="A38">
        <f>ROW(Source!A39)</f>
        <v>39</v>
      </c>
      <c r="B38">
        <v>55468473</v>
      </c>
      <c r="C38">
        <v>55638420</v>
      </c>
      <c r="D38">
        <v>53630033</v>
      </c>
      <c r="E38">
        <v>70</v>
      </c>
      <c r="F38">
        <v>1</v>
      </c>
      <c r="G38">
        <v>1</v>
      </c>
      <c r="H38">
        <v>1</v>
      </c>
      <c r="I38" t="s">
        <v>282</v>
      </c>
      <c r="K38" t="s">
        <v>283</v>
      </c>
      <c r="L38">
        <v>1191</v>
      </c>
      <c r="N38">
        <v>1013</v>
      </c>
      <c r="O38" t="s">
        <v>245</v>
      </c>
      <c r="P38" t="s">
        <v>245</v>
      </c>
      <c r="Q38">
        <v>1</v>
      </c>
      <c r="W38">
        <v>0</v>
      </c>
      <c r="X38">
        <v>2031828327</v>
      </c>
      <c r="Y38">
        <v>59.6</v>
      </c>
      <c r="AA38">
        <v>0</v>
      </c>
      <c r="AB38">
        <v>0</v>
      </c>
      <c r="AC38">
        <v>0</v>
      </c>
      <c r="AD38">
        <v>287.59</v>
      </c>
      <c r="AE38">
        <v>0</v>
      </c>
      <c r="AF38">
        <v>0</v>
      </c>
      <c r="AG38">
        <v>0</v>
      </c>
      <c r="AH38">
        <v>7.8</v>
      </c>
      <c r="AI38">
        <v>1</v>
      </c>
      <c r="AJ38">
        <v>1</v>
      </c>
      <c r="AK38">
        <v>1</v>
      </c>
      <c r="AL38">
        <v>36.87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59.6</v>
      </c>
      <c r="AV38">
        <v>1</v>
      </c>
      <c r="AW38">
        <v>2</v>
      </c>
      <c r="AX38">
        <v>55638421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Y38*Source!I39</f>
        <v>4.47</v>
      </c>
      <c r="CY38">
        <f>AD38</f>
        <v>287.59</v>
      </c>
      <c r="CZ38">
        <f>AH38</f>
        <v>7.8</v>
      </c>
      <c r="DA38">
        <f>AL38</f>
        <v>36.87</v>
      </c>
      <c r="DB38">
        <f t="shared" si="10"/>
        <v>464.88</v>
      </c>
      <c r="DC38">
        <f t="shared" si="11"/>
        <v>0</v>
      </c>
    </row>
    <row r="39" spans="1:107" ht="12.75">
      <c r="A39">
        <f>ROW(Source!A76)</f>
        <v>76</v>
      </c>
      <c r="B39">
        <v>55468472</v>
      </c>
      <c r="C39">
        <v>55469207</v>
      </c>
      <c r="D39">
        <v>44800251</v>
      </c>
      <c r="E39">
        <v>54</v>
      </c>
      <c r="F39">
        <v>1</v>
      </c>
      <c r="G39">
        <v>1</v>
      </c>
      <c r="H39">
        <v>1</v>
      </c>
      <c r="I39" t="s">
        <v>284</v>
      </c>
      <c r="K39" t="s">
        <v>285</v>
      </c>
      <c r="L39">
        <v>1191</v>
      </c>
      <c r="N39">
        <v>1013</v>
      </c>
      <c r="O39" t="s">
        <v>245</v>
      </c>
      <c r="P39" t="s">
        <v>245</v>
      </c>
      <c r="Q39">
        <v>1</v>
      </c>
      <c r="W39">
        <v>0</v>
      </c>
      <c r="X39">
        <v>-608433632</v>
      </c>
      <c r="Y39">
        <v>80.27</v>
      </c>
      <c r="AA39">
        <v>0</v>
      </c>
      <c r="AB39">
        <v>0</v>
      </c>
      <c r="AC39">
        <v>0</v>
      </c>
      <c r="AD39">
        <v>8.46</v>
      </c>
      <c r="AE39">
        <v>0</v>
      </c>
      <c r="AF39">
        <v>0</v>
      </c>
      <c r="AG39">
        <v>0</v>
      </c>
      <c r="AH39">
        <v>8.46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69.8</v>
      </c>
      <c r="AU39" t="s">
        <v>28</v>
      </c>
      <c r="AV39">
        <v>1</v>
      </c>
      <c r="AW39">
        <v>2</v>
      </c>
      <c r="AX39">
        <v>55469208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Y39*Source!I76</f>
        <v>119.6023</v>
      </c>
      <c r="CY39">
        <f>AD39</f>
        <v>8.46</v>
      </c>
      <c r="CZ39">
        <f>AH39</f>
        <v>8.46</v>
      </c>
      <c r="DA39">
        <f>AL39</f>
        <v>1</v>
      </c>
      <c r="DB39">
        <f>ROUND((ROUND(AT39*CZ39,2)*ROUND(1.15,7)),2)</f>
        <v>679.09</v>
      </c>
      <c r="DC39">
        <f>ROUND((ROUND(AT39*AG39,2)*ROUND(1.15,7)),2)</f>
        <v>0</v>
      </c>
    </row>
    <row r="40" spans="1:107" ht="12.75">
      <c r="A40">
        <f>ROW(Source!A76)</f>
        <v>76</v>
      </c>
      <c r="B40">
        <v>55468472</v>
      </c>
      <c r="C40">
        <v>55469207</v>
      </c>
      <c r="D40">
        <v>44800452</v>
      </c>
      <c r="E40">
        <v>54</v>
      </c>
      <c r="F40">
        <v>1</v>
      </c>
      <c r="G40">
        <v>1</v>
      </c>
      <c r="H40">
        <v>1</v>
      </c>
      <c r="I40" t="s">
        <v>246</v>
      </c>
      <c r="K40" t="s">
        <v>247</v>
      </c>
      <c r="L40">
        <v>1191</v>
      </c>
      <c r="N40">
        <v>1013</v>
      </c>
      <c r="O40" t="s">
        <v>245</v>
      </c>
      <c r="P40" t="s">
        <v>245</v>
      </c>
      <c r="Q40">
        <v>1</v>
      </c>
      <c r="W40">
        <v>0</v>
      </c>
      <c r="X40">
        <v>-1417349443</v>
      </c>
      <c r="Y40">
        <v>0.8125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0.65</v>
      </c>
      <c r="AU40" t="s">
        <v>27</v>
      </c>
      <c r="AV40">
        <v>2</v>
      </c>
      <c r="AW40">
        <v>2</v>
      </c>
      <c r="AX40">
        <v>55469209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Y40*Source!I76</f>
        <v>1.210625</v>
      </c>
      <c r="CY40">
        <f>AD40</f>
        <v>0</v>
      </c>
      <c r="CZ40">
        <f>AH40</f>
        <v>0</v>
      </c>
      <c r="DA40">
        <f>AL40</f>
        <v>1</v>
      </c>
      <c r="DB40">
        <f>ROUND((ROUND(AT40*CZ40,2)*ROUND(1.25,7)),2)</f>
        <v>0</v>
      </c>
      <c r="DC40">
        <f>ROUND((ROUND(AT40*AG40,2)*ROUND(1.25,7)),2)</f>
        <v>0</v>
      </c>
    </row>
    <row r="41" spans="1:107" ht="12.75">
      <c r="A41">
        <f>ROW(Source!A76)</f>
        <v>76</v>
      </c>
      <c r="B41">
        <v>55468472</v>
      </c>
      <c r="C41">
        <v>55469207</v>
      </c>
      <c r="D41">
        <v>44976261</v>
      </c>
      <c r="E41">
        <v>1</v>
      </c>
      <c r="F41">
        <v>1</v>
      </c>
      <c r="G41">
        <v>1</v>
      </c>
      <c r="H41">
        <v>2</v>
      </c>
      <c r="I41" t="s">
        <v>286</v>
      </c>
      <c r="J41" t="s">
        <v>287</v>
      </c>
      <c r="K41" t="s">
        <v>288</v>
      </c>
      <c r="L41">
        <v>1368</v>
      </c>
      <c r="N41">
        <v>1011</v>
      </c>
      <c r="O41" t="s">
        <v>289</v>
      </c>
      <c r="P41" t="s">
        <v>289</v>
      </c>
      <c r="Q41">
        <v>1</v>
      </c>
      <c r="W41">
        <v>0</v>
      </c>
      <c r="X41">
        <v>-747672348</v>
      </c>
      <c r="Y41">
        <v>0.7625</v>
      </c>
      <c r="AA41">
        <v>0</v>
      </c>
      <c r="AB41">
        <v>115.4</v>
      </c>
      <c r="AC41">
        <v>13.5</v>
      </c>
      <c r="AD41">
        <v>0</v>
      </c>
      <c r="AE41">
        <v>0</v>
      </c>
      <c r="AF41">
        <v>115.4</v>
      </c>
      <c r="AG41">
        <v>13.5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0.61</v>
      </c>
      <c r="AU41" t="s">
        <v>27</v>
      </c>
      <c r="AV41">
        <v>0</v>
      </c>
      <c r="AW41">
        <v>2</v>
      </c>
      <c r="AX41">
        <v>55469210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Y41*Source!I76</f>
        <v>1.1361249999999998</v>
      </c>
      <c r="CY41">
        <f>AB41</f>
        <v>115.4</v>
      </c>
      <c r="CZ41">
        <f>AF41</f>
        <v>115.4</v>
      </c>
      <c r="DA41">
        <f>AJ41</f>
        <v>1</v>
      </c>
      <c r="DB41">
        <f>ROUND((ROUND(AT41*CZ41,2)*ROUND(1.25,7)),2)</f>
        <v>87.99</v>
      </c>
      <c r="DC41">
        <f>ROUND((ROUND(AT41*AG41,2)*ROUND(1.25,7)),2)</f>
        <v>10.3</v>
      </c>
    </row>
    <row r="42" spans="1:107" ht="12.75">
      <c r="A42">
        <f>ROW(Source!A76)</f>
        <v>76</v>
      </c>
      <c r="B42">
        <v>55468472</v>
      </c>
      <c r="C42">
        <v>55469207</v>
      </c>
      <c r="D42">
        <v>44977280</v>
      </c>
      <c r="E42">
        <v>1</v>
      </c>
      <c r="F42">
        <v>1</v>
      </c>
      <c r="G42">
        <v>1</v>
      </c>
      <c r="H42">
        <v>2</v>
      </c>
      <c r="I42" t="s">
        <v>257</v>
      </c>
      <c r="J42" t="s">
        <v>258</v>
      </c>
      <c r="K42" t="s">
        <v>259</v>
      </c>
      <c r="L42">
        <v>1368</v>
      </c>
      <c r="N42">
        <v>1011</v>
      </c>
      <c r="O42" t="s">
        <v>289</v>
      </c>
      <c r="P42" t="s">
        <v>289</v>
      </c>
      <c r="Q42">
        <v>1</v>
      </c>
      <c r="W42">
        <v>0</v>
      </c>
      <c r="X42">
        <v>-1057454432</v>
      </c>
      <c r="Y42">
        <v>0.05</v>
      </c>
      <c r="AA42">
        <v>0</v>
      </c>
      <c r="AB42">
        <v>65.71</v>
      </c>
      <c r="AC42">
        <v>11.6</v>
      </c>
      <c r="AD42">
        <v>0</v>
      </c>
      <c r="AE42">
        <v>0</v>
      </c>
      <c r="AF42">
        <v>65.71</v>
      </c>
      <c r="AG42">
        <v>11.6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0.04</v>
      </c>
      <c r="AU42" t="s">
        <v>27</v>
      </c>
      <c r="AV42">
        <v>0</v>
      </c>
      <c r="AW42">
        <v>2</v>
      </c>
      <c r="AX42">
        <v>55469211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Y42*Source!I76</f>
        <v>0.0745</v>
      </c>
      <c r="CY42">
        <f>AB42</f>
        <v>65.71</v>
      </c>
      <c r="CZ42">
        <f>AF42</f>
        <v>65.71</v>
      </c>
      <c r="DA42">
        <f>AJ42</f>
        <v>1</v>
      </c>
      <c r="DB42">
        <f>ROUND((ROUND(AT42*CZ42,2)*ROUND(1.25,7)),2)</f>
        <v>3.29</v>
      </c>
      <c r="DC42">
        <f>ROUND((ROUND(AT42*AG42,2)*ROUND(1.25,7)),2)</f>
        <v>0.58</v>
      </c>
    </row>
    <row r="43" spans="1:107" ht="12.75">
      <c r="A43">
        <f>ROW(Source!A76)</f>
        <v>76</v>
      </c>
      <c r="B43">
        <v>55468472</v>
      </c>
      <c r="C43">
        <v>55469207</v>
      </c>
      <c r="D43">
        <v>44815200</v>
      </c>
      <c r="E43">
        <v>1</v>
      </c>
      <c r="F43">
        <v>1</v>
      </c>
      <c r="G43">
        <v>1</v>
      </c>
      <c r="H43">
        <v>3</v>
      </c>
      <c r="I43" t="s">
        <v>290</v>
      </c>
      <c r="J43" t="s">
        <v>291</v>
      </c>
      <c r="K43" t="s">
        <v>292</v>
      </c>
      <c r="L43">
        <v>1348</v>
      </c>
      <c r="N43">
        <v>1009</v>
      </c>
      <c r="O43" t="s">
        <v>138</v>
      </c>
      <c r="P43" t="s">
        <v>138</v>
      </c>
      <c r="Q43">
        <v>1000</v>
      </c>
      <c r="W43">
        <v>0</v>
      </c>
      <c r="X43">
        <v>1737712510</v>
      </c>
      <c r="Y43">
        <v>0.001</v>
      </c>
      <c r="AA43">
        <v>11978</v>
      </c>
      <c r="AB43">
        <v>0</v>
      </c>
      <c r="AC43">
        <v>0</v>
      </c>
      <c r="AD43">
        <v>0</v>
      </c>
      <c r="AE43">
        <v>11978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0.001</v>
      </c>
      <c r="AV43">
        <v>0</v>
      </c>
      <c r="AW43">
        <v>2</v>
      </c>
      <c r="AX43">
        <v>55469212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Y43*Source!I76</f>
        <v>0.00149</v>
      </c>
      <c r="CY43">
        <f>AA43</f>
        <v>11978</v>
      </c>
      <c r="CZ43">
        <f>AE43</f>
        <v>11978</v>
      </c>
      <c r="DA43">
        <f>AI43</f>
        <v>1</v>
      </c>
      <c r="DB43">
        <f>ROUND(ROUND(AT43*CZ43,2),2)</f>
        <v>11.98</v>
      </c>
      <c r="DC43">
        <f>ROUND(ROUND(AT43*AG43,2),2)</f>
        <v>0</v>
      </c>
    </row>
    <row r="44" spans="1:107" ht="12.75">
      <c r="A44">
        <f>ROW(Source!A76)</f>
        <v>76</v>
      </c>
      <c r="B44">
        <v>55468472</v>
      </c>
      <c r="C44">
        <v>55469207</v>
      </c>
      <c r="D44">
        <v>44818336</v>
      </c>
      <c r="E44">
        <v>1</v>
      </c>
      <c r="F44">
        <v>1</v>
      </c>
      <c r="G44">
        <v>1</v>
      </c>
      <c r="H44">
        <v>3</v>
      </c>
      <c r="I44" t="s">
        <v>293</v>
      </c>
      <c r="J44" t="s">
        <v>294</v>
      </c>
      <c r="K44" t="s">
        <v>295</v>
      </c>
      <c r="L44">
        <v>1339</v>
      </c>
      <c r="N44">
        <v>1007</v>
      </c>
      <c r="O44" t="s">
        <v>269</v>
      </c>
      <c r="P44" t="s">
        <v>269</v>
      </c>
      <c r="Q44">
        <v>1</v>
      </c>
      <c r="W44">
        <v>0</v>
      </c>
      <c r="X44">
        <v>-883557884</v>
      </c>
      <c r="Y44">
        <v>3.9</v>
      </c>
      <c r="AA44">
        <v>592.76</v>
      </c>
      <c r="AB44">
        <v>0</v>
      </c>
      <c r="AC44">
        <v>0</v>
      </c>
      <c r="AD44">
        <v>0</v>
      </c>
      <c r="AE44">
        <v>592.76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3.9</v>
      </c>
      <c r="AV44">
        <v>0</v>
      </c>
      <c r="AW44">
        <v>2</v>
      </c>
      <c r="AX44">
        <v>55469213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Y44*Source!I76</f>
        <v>5.811</v>
      </c>
      <c r="CY44">
        <f>AA44</f>
        <v>592.76</v>
      </c>
      <c r="CZ44">
        <f>AE44</f>
        <v>592.76</v>
      </c>
      <c r="DA44">
        <f>AI44</f>
        <v>1</v>
      </c>
      <c r="DB44">
        <f>ROUND(ROUND(AT44*CZ44,2),2)</f>
        <v>2311.76</v>
      </c>
      <c r="DC44">
        <f>ROUND(ROUND(AT44*AG44,2),2)</f>
        <v>0</v>
      </c>
    </row>
    <row r="45" spans="1:107" ht="12.75">
      <c r="A45">
        <f>ROW(Source!A76)</f>
        <v>76</v>
      </c>
      <c r="B45">
        <v>55468472</v>
      </c>
      <c r="C45">
        <v>55469207</v>
      </c>
      <c r="D45">
        <v>44818656</v>
      </c>
      <c r="E45">
        <v>1</v>
      </c>
      <c r="F45">
        <v>1</v>
      </c>
      <c r="G45">
        <v>1</v>
      </c>
      <c r="H45">
        <v>3</v>
      </c>
      <c r="I45" t="s">
        <v>296</v>
      </c>
      <c r="J45" t="s">
        <v>297</v>
      </c>
      <c r="K45" t="s">
        <v>298</v>
      </c>
      <c r="L45">
        <v>1339</v>
      </c>
      <c r="N45">
        <v>1007</v>
      </c>
      <c r="O45" t="s">
        <v>269</v>
      </c>
      <c r="P45" t="s">
        <v>269</v>
      </c>
      <c r="Q45">
        <v>1</v>
      </c>
      <c r="W45">
        <v>0</v>
      </c>
      <c r="X45">
        <v>-1455146012</v>
      </c>
      <c r="Y45">
        <v>0.06</v>
      </c>
      <c r="AA45">
        <v>519.8</v>
      </c>
      <c r="AB45">
        <v>0</v>
      </c>
      <c r="AC45">
        <v>0</v>
      </c>
      <c r="AD45">
        <v>0</v>
      </c>
      <c r="AE45">
        <v>519.8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0.06</v>
      </c>
      <c r="AV45">
        <v>0</v>
      </c>
      <c r="AW45">
        <v>2</v>
      </c>
      <c r="AX45">
        <v>55469214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Y45*Source!I76</f>
        <v>0.0894</v>
      </c>
      <c r="CY45">
        <f>AA45</f>
        <v>519.8</v>
      </c>
      <c r="CZ45">
        <f>AE45</f>
        <v>519.8</v>
      </c>
      <c r="DA45">
        <f>AI45</f>
        <v>1</v>
      </c>
      <c r="DB45">
        <f>ROUND(ROUND(AT45*CZ45,2),2)</f>
        <v>31.19</v>
      </c>
      <c r="DC45">
        <f>ROUND(ROUND(AT45*AG45,2),2)</f>
        <v>0</v>
      </c>
    </row>
    <row r="46" spans="1:107" ht="12.75">
      <c r="A46">
        <f>ROW(Source!A76)</f>
        <v>76</v>
      </c>
      <c r="B46">
        <v>55468472</v>
      </c>
      <c r="C46">
        <v>55469207</v>
      </c>
      <c r="D46">
        <v>44828430</v>
      </c>
      <c r="E46">
        <v>1</v>
      </c>
      <c r="F46">
        <v>1</v>
      </c>
      <c r="G46">
        <v>1</v>
      </c>
      <c r="H46">
        <v>3</v>
      </c>
      <c r="I46" t="s">
        <v>127</v>
      </c>
      <c r="J46" t="s">
        <v>130</v>
      </c>
      <c r="K46" t="s">
        <v>128</v>
      </c>
      <c r="L46">
        <v>1371</v>
      </c>
      <c r="N46">
        <v>1013</v>
      </c>
      <c r="O46" t="s">
        <v>129</v>
      </c>
      <c r="P46" t="s">
        <v>129</v>
      </c>
      <c r="Q46">
        <v>1</v>
      </c>
      <c r="W46">
        <v>0</v>
      </c>
      <c r="X46">
        <v>1944447477</v>
      </c>
      <c r="Y46">
        <v>100</v>
      </c>
      <c r="AA46">
        <v>63.12</v>
      </c>
      <c r="AB46">
        <v>0</v>
      </c>
      <c r="AC46">
        <v>0</v>
      </c>
      <c r="AD46">
        <v>0</v>
      </c>
      <c r="AE46">
        <v>63.12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100</v>
      </c>
      <c r="AV46">
        <v>0</v>
      </c>
      <c r="AW46">
        <v>1</v>
      </c>
      <c r="AX46">
        <v>-1</v>
      </c>
      <c r="AY46">
        <v>0</v>
      </c>
      <c r="AZ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Y46*Source!I76</f>
        <v>149</v>
      </c>
      <c r="CY46">
        <f>AA46</f>
        <v>63.12</v>
      </c>
      <c r="CZ46">
        <f>AE46</f>
        <v>63.12</v>
      </c>
      <c r="DA46">
        <f>AI46</f>
        <v>1</v>
      </c>
      <c r="DB46">
        <f>ROUND(ROUND(AT46*CZ46,2),2)</f>
        <v>6312</v>
      </c>
      <c r="DC46">
        <f>ROUND(ROUND(AT46*AG46,2),2)</f>
        <v>0</v>
      </c>
    </row>
    <row r="47" spans="1:107" ht="12.75">
      <c r="A47">
        <f>ROW(Source!A76)</f>
        <v>76</v>
      </c>
      <c r="B47">
        <v>55468472</v>
      </c>
      <c r="C47">
        <v>55469207</v>
      </c>
      <c r="D47">
        <v>44840450</v>
      </c>
      <c r="E47">
        <v>1</v>
      </c>
      <c r="F47">
        <v>1</v>
      </c>
      <c r="G47">
        <v>1</v>
      </c>
      <c r="H47">
        <v>3</v>
      </c>
      <c r="I47" t="s">
        <v>299</v>
      </c>
      <c r="J47" t="s">
        <v>300</v>
      </c>
      <c r="K47" t="s">
        <v>301</v>
      </c>
      <c r="L47">
        <v>1339</v>
      </c>
      <c r="N47">
        <v>1007</v>
      </c>
      <c r="O47" t="s">
        <v>269</v>
      </c>
      <c r="P47" t="s">
        <v>269</v>
      </c>
      <c r="Q47">
        <v>1</v>
      </c>
      <c r="W47">
        <v>0</v>
      </c>
      <c r="X47">
        <v>-1605213424</v>
      </c>
      <c r="Y47">
        <v>0.17</v>
      </c>
      <c r="AA47">
        <v>880.01</v>
      </c>
      <c r="AB47">
        <v>0</v>
      </c>
      <c r="AC47">
        <v>0</v>
      </c>
      <c r="AD47">
        <v>0</v>
      </c>
      <c r="AE47">
        <v>880.01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0.17</v>
      </c>
      <c r="AV47">
        <v>0</v>
      </c>
      <c r="AW47">
        <v>2</v>
      </c>
      <c r="AX47">
        <v>55469215</v>
      </c>
      <c r="AY47">
        <v>1</v>
      </c>
      <c r="AZ47">
        <v>0</v>
      </c>
      <c r="BA47">
        <v>46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Y47*Source!I76</f>
        <v>0.2533</v>
      </c>
      <c r="CY47">
        <f>AA47</f>
        <v>880.01</v>
      </c>
      <c r="CZ47">
        <f>AE47</f>
        <v>880.01</v>
      </c>
      <c r="DA47">
        <f>AI47</f>
        <v>1</v>
      </c>
      <c r="DB47">
        <f>ROUND(ROUND(AT47*CZ47,2),2)</f>
        <v>149.6</v>
      </c>
      <c r="DC47">
        <f>ROUND(ROUND(AT47*AG47,2),2)</f>
        <v>0</v>
      </c>
    </row>
    <row r="48" spans="1:107" ht="12.75">
      <c r="A48">
        <f>ROW(Source!A77)</f>
        <v>77</v>
      </c>
      <c r="B48">
        <v>55468473</v>
      </c>
      <c r="C48">
        <v>55469207</v>
      </c>
      <c r="D48">
        <v>44800251</v>
      </c>
      <c r="E48">
        <v>54</v>
      </c>
      <c r="F48">
        <v>1</v>
      </c>
      <c r="G48">
        <v>1</v>
      </c>
      <c r="H48">
        <v>1</v>
      </c>
      <c r="I48" t="s">
        <v>284</v>
      </c>
      <c r="K48" t="s">
        <v>285</v>
      </c>
      <c r="L48">
        <v>1191</v>
      </c>
      <c r="N48">
        <v>1013</v>
      </c>
      <c r="O48" t="s">
        <v>245</v>
      </c>
      <c r="P48" t="s">
        <v>245</v>
      </c>
      <c r="Q48">
        <v>1</v>
      </c>
      <c r="W48">
        <v>0</v>
      </c>
      <c r="X48">
        <v>-608433632</v>
      </c>
      <c r="Y48">
        <v>80.27</v>
      </c>
      <c r="AA48">
        <v>0</v>
      </c>
      <c r="AB48">
        <v>0</v>
      </c>
      <c r="AC48">
        <v>0</v>
      </c>
      <c r="AD48">
        <v>311.92</v>
      </c>
      <c r="AE48">
        <v>0</v>
      </c>
      <c r="AF48">
        <v>0</v>
      </c>
      <c r="AG48">
        <v>0</v>
      </c>
      <c r="AH48">
        <v>8.46</v>
      </c>
      <c r="AI48">
        <v>1</v>
      </c>
      <c r="AJ48">
        <v>1</v>
      </c>
      <c r="AK48">
        <v>1</v>
      </c>
      <c r="AL48">
        <v>36.87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69.8</v>
      </c>
      <c r="AU48" t="s">
        <v>28</v>
      </c>
      <c r="AV48">
        <v>1</v>
      </c>
      <c r="AW48">
        <v>2</v>
      </c>
      <c r="AX48">
        <v>55469208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Y48*Source!I77</f>
        <v>119.6023</v>
      </c>
      <c r="CY48">
        <f>AD48</f>
        <v>311.92</v>
      </c>
      <c r="CZ48">
        <f>AH48</f>
        <v>8.46</v>
      </c>
      <c r="DA48">
        <f>AL48</f>
        <v>36.87</v>
      </c>
      <c r="DB48">
        <f>ROUND((ROUND(AT48*CZ48,2)*ROUND(1.15,7)),2)</f>
        <v>679.09</v>
      </c>
      <c r="DC48">
        <f>ROUND((ROUND(AT48*AG48,2)*ROUND(1.15,7)),2)</f>
        <v>0</v>
      </c>
    </row>
    <row r="49" spans="1:107" ht="12.75">
      <c r="A49">
        <f>ROW(Source!A77)</f>
        <v>77</v>
      </c>
      <c r="B49">
        <v>55468473</v>
      </c>
      <c r="C49">
        <v>55469207</v>
      </c>
      <c r="D49">
        <v>44800452</v>
      </c>
      <c r="E49">
        <v>54</v>
      </c>
      <c r="F49">
        <v>1</v>
      </c>
      <c r="G49">
        <v>1</v>
      </c>
      <c r="H49">
        <v>1</v>
      </c>
      <c r="I49" t="s">
        <v>246</v>
      </c>
      <c r="K49" t="s">
        <v>247</v>
      </c>
      <c r="L49">
        <v>1191</v>
      </c>
      <c r="N49">
        <v>1013</v>
      </c>
      <c r="O49" t="s">
        <v>245</v>
      </c>
      <c r="P49" t="s">
        <v>245</v>
      </c>
      <c r="Q49">
        <v>1</v>
      </c>
      <c r="W49">
        <v>0</v>
      </c>
      <c r="X49">
        <v>-1417349443</v>
      </c>
      <c r="Y49">
        <v>0.8125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36.87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0.65</v>
      </c>
      <c r="AU49" t="s">
        <v>27</v>
      </c>
      <c r="AV49">
        <v>2</v>
      </c>
      <c r="AW49">
        <v>2</v>
      </c>
      <c r="AX49">
        <v>55469209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Y49*Source!I77</f>
        <v>1.210625</v>
      </c>
      <c r="CY49">
        <f>AD49</f>
        <v>0</v>
      </c>
      <c r="CZ49">
        <f>AH49</f>
        <v>0</v>
      </c>
      <c r="DA49">
        <f>AL49</f>
        <v>1</v>
      </c>
      <c r="DB49">
        <f>ROUND((ROUND(AT49*CZ49,2)*ROUND(1.25,7)),2)</f>
        <v>0</v>
      </c>
      <c r="DC49">
        <f>ROUND((ROUND(AT49*AG49,2)*ROUND(1.25,7)),2)</f>
        <v>0</v>
      </c>
    </row>
    <row r="50" spans="1:107" ht="12.75">
      <c r="A50">
        <f>ROW(Source!A77)</f>
        <v>77</v>
      </c>
      <c r="B50">
        <v>55468473</v>
      </c>
      <c r="C50">
        <v>55469207</v>
      </c>
      <c r="D50">
        <v>44976261</v>
      </c>
      <c r="E50">
        <v>1</v>
      </c>
      <c r="F50">
        <v>1</v>
      </c>
      <c r="G50">
        <v>1</v>
      </c>
      <c r="H50">
        <v>2</v>
      </c>
      <c r="I50" t="s">
        <v>286</v>
      </c>
      <c r="J50" t="s">
        <v>287</v>
      </c>
      <c r="K50" t="s">
        <v>288</v>
      </c>
      <c r="L50">
        <v>1368</v>
      </c>
      <c r="N50">
        <v>1011</v>
      </c>
      <c r="O50" t="s">
        <v>289</v>
      </c>
      <c r="P50" t="s">
        <v>289</v>
      </c>
      <c r="Q50">
        <v>1</v>
      </c>
      <c r="W50">
        <v>0</v>
      </c>
      <c r="X50">
        <v>-747672348</v>
      </c>
      <c r="Y50">
        <v>0.7625</v>
      </c>
      <c r="AA50">
        <v>0</v>
      </c>
      <c r="AB50">
        <v>1510.59</v>
      </c>
      <c r="AC50">
        <v>497.75</v>
      </c>
      <c r="AD50">
        <v>0</v>
      </c>
      <c r="AE50">
        <v>0</v>
      </c>
      <c r="AF50">
        <v>115.4</v>
      </c>
      <c r="AG50">
        <v>13.5</v>
      </c>
      <c r="AH50">
        <v>0</v>
      </c>
      <c r="AI50">
        <v>1</v>
      </c>
      <c r="AJ50">
        <v>13.09</v>
      </c>
      <c r="AK50">
        <v>36.87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0.61</v>
      </c>
      <c r="AU50" t="s">
        <v>27</v>
      </c>
      <c r="AV50">
        <v>0</v>
      </c>
      <c r="AW50">
        <v>2</v>
      </c>
      <c r="AX50">
        <v>55469210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Y50*Source!I77</f>
        <v>1.1361249999999998</v>
      </c>
      <c r="CY50">
        <f>AB50</f>
        <v>1510.59</v>
      </c>
      <c r="CZ50">
        <f>AF50</f>
        <v>115.4</v>
      </c>
      <c r="DA50">
        <f>AJ50</f>
        <v>13.09</v>
      </c>
      <c r="DB50">
        <f>ROUND((ROUND(AT50*CZ50,2)*ROUND(1.25,7)),2)</f>
        <v>87.99</v>
      </c>
      <c r="DC50">
        <f>ROUND((ROUND(AT50*AG50,2)*ROUND(1.25,7)),2)</f>
        <v>10.3</v>
      </c>
    </row>
    <row r="51" spans="1:107" ht="12.75">
      <c r="A51">
        <f>ROW(Source!A77)</f>
        <v>77</v>
      </c>
      <c r="B51">
        <v>55468473</v>
      </c>
      <c r="C51">
        <v>55469207</v>
      </c>
      <c r="D51">
        <v>44977280</v>
      </c>
      <c r="E51">
        <v>1</v>
      </c>
      <c r="F51">
        <v>1</v>
      </c>
      <c r="G51">
        <v>1</v>
      </c>
      <c r="H51">
        <v>2</v>
      </c>
      <c r="I51" t="s">
        <v>257</v>
      </c>
      <c r="J51" t="s">
        <v>258</v>
      </c>
      <c r="K51" t="s">
        <v>259</v>
      </c>
      <c r="L51">
        <v>1368</v>
      </c>
      <c r="N51">
        <v>1011</v>
      </c>
      <c r="O51" t="s">
        <v>289</v>
      </c>
      <c r="P51" t="s">
        <v>289</v>
      </c>
      <c r="Q51">
        <v>1</v>
      </c>
      <c r="W51">
        <v>0</v>
      </c>
      <c r="X51">
        <v>-1057454432</v>
      </c>
      <c r="Y51">
        <v>0.05</v>
      </c>
      <c r="AA51">
        <v>0</v>
      </c>
      <c r="AB51">
        <v>860.14</v>
      </c>
      <c r="AC51">
        <v>427.69</v>
      </c>
      <c r="AD51">
        <v>0</v>
      </c>
      <c r="AE51">
        <v>0</v>
      </c>
      <c r="AF51">
        <v>65.71</v>
      </c>
      <c r="AG51">
        <v>11.6</v>
      </c>
      <c r="AH51">
        <v>0</v>
      </c>
      <c r="AI51">
        <v>1</v>
      </c>
      <c r="AJ51">
        <v>13.09</v>
      </c>
      <c r="AK51">
        <v>36.87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0.04</v>
      </c>
      <c r="AU51" t="s">
        <v>27</v>
      </c>
      <c r="AV51">
        <v>0</v>
      </c>
      <c r="AW51">
        <v>2</v>
      </c>
      <c r="AX51">
        <v>55469211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Y51*Source!I77</f>
        <v>0.0745</v>
      </c>
      <c r="CY51">
        <f>AB51</f>
        <v>860.14</v>
      </c>
      <c r="CZ51">
        <f>AF51</f>
        <v>65.71</v>
      </c>
      <c r="DA51">
        <f>AJ51</f>
        <v>13.09</v>
      </c>
      <c r="DB51">
        <f>ROUND((ROUND(AT51*CZ51,2)*ROUND(1.25,7)),2)</f>
        <v>3.29</v>
      </c>
      <c r="DC51">
        <f>ROUND((ROUND(AT51*AG51,2)*ROUND(1.25,7)),2)</f>
        <v>0.58</v>
      </c>
    </row>
    <row r="52" spans="1:107" ht="12.75">
      <c r="A52">
        <f>ROW(Source!A77)</f>
        <v>77</v>
      </c>
      <c r="B52">
        <v>55468473</v>
      </c>
      <c r="C52">
        <v>55469207</v>
      </c>
      <c r="D52">
        <v>44815200</v>
      </c>
      <c r="E52">
        <v>1</v>
      </c>
      <c r="F52">
        <v>1</v>
      </c>
      <c r="G52">
        <v>1</v>
      </c>
      <c r="H52">
        <v>3</v>
      </c>
      <c r="I52" t="s">
        <v>290</v>
      </c>
      <c r="J52" t="s">
        <v>291</v>
      </c>
      <c r="K52" t="s">
        <v>292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W52">
        <v>0</v>
      </c>
      <c r="X52">
        <v>1737712510</v>
      </c>
      <c r="Y52">
        <v>0.001</v>
      </c>
      <c r="AA52">
        <v>79653.7</v>
      </c>
      <c r="AB52">
        <v>0</v>
      </c>
      <c r="AC52">
        <v>0</v>
      </c>
      <c r="AD52">
        <v>0</v>
      </c>
      <c r="AE52">
        <v>11978</v>
      </c>
      <c r="AF52">
        <v>0</v>
      </c>
      <c r="AG52">
        <v>0</v>
      </c>
      <c r="AH52">
        <v>0</v>
      </c>
      <c r="AI52">
        <v>6.65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0.001</v>
      </c>
      <c r="AV52">
        <v>0</v>
      </c>
      <c r="AW52">
        <v>2</v>
      </c>
      <c r="AX52">
        <v>55469212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Y52*Source!I77</f>
        <v>0.00149</v>
      </c>
      <c r="CY52">
        <f>AA52</f>
        <v>79653.7</v>
      </c>
      <c r="CZ52">
        <f>AE52</f>
        <v>11978</v>
      </c>
      <c r="DA52">
        <f>AI52</f>
        <v>6.65</v>
      </c>
      <c r="DB52">
        <f>ROUND(ROUND(AT52*CZ52,2),2)</f>
        <v>11.98</v>
      </c>
      <c r="DC52">
        <f>ROUND(ROUND(AT52*AG52,2),2)</f>
        <v>0</v>
      </c>
    </row>
    <row r="53" spans="1:107" ht="12.75">
      <c r="A53">
        <f>ROW(Source!A77)</f>
        <v>77</v>
      </c>
      <c r="B53">
        <v>55468473</v>
      </c>
      <c r="C53">
        <v>55469207</v>
      </c>
      <c r="D53">
        <v>44818336</v>
      </c>
      <c r="E53">
        <v>1</v>
      </c>
      <c r="F53">
        <v>1</v>
      </c>
      <c r="G53">
        <v>1</v>
      </c>
      <c r="H53">
        <v>3</v>
      </c>
      <c r="I53" t="s">
        <v>293</v>
      </c>
      <c r="J53" t="s">
        <v>294</v>
      </c>
      <c r="K53" t="s">
        <v>295</v>
      </c>
      <c r="L53">
        <v>1339</v>
      </c>
      <c r="N53">
        <v>1007</v>
      </c>
      <c r="O53" t="s">
        <v>269</v>
      </c>
      <c r="P53" t="s">
        <v>269</v>
      </c>
      <c r="Q53">
        <v>1</v>
      </c>
      <c r="W53">
        <v>0</v>
      </c>
      <c r="X53">
        <v>-883557884</v>
      </c>
      <c r="Y53">
        <v>3.9</v>
      </c>
      <c r="AA53">
        <v>3941.85</v>
      </c>
      <c r="AB53">
        <v>0</v>
      </c>
      <c r="AC53">
        <v>0</v>
      </c>
      <c r="AD53">
        <v>0</v>
      </c>
      <c r="AE53">
        <v>592.76</v>
      </c>
      <c r="AF53">
        <v>0</v>
      </c>
      <c r="AG53">
        <v>0</v>
      </c>
      <c r="AH53">
        <v>0</v>
      </c>
      <c r="AI53">
        <v>6.65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3.9</v>
      </c>
      <c r="AV53">
        <v>0</v>
      </c>
      <c r="AW53">
        <v>2</v>
      </c>
      <c r="AX53">
        <v>55469213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Y53*Source!I77</f>
        <v>5.811</v>
      </c>
      <c r="CY53">
        <f>AA53</f>
        <v>3941.85</v>
      </c>
      <c r="CZ53">
        <f>AE53</f>
        <v>592.76</v>
      </c>
      <c r="DA53">
        <f>AI53</f>
        <v>6.65</v>
      </c>
      <c r="DB53">
        <f>ROUND(ROUND(AT53*CZ53,2),2)</f>
        <v>2311.76</v>
      </c>
      <c r="DC53">
        <f>ROUND(ROUND(AT53*AG53,2),2)</f>
        <v>0</v>
      </c>
    </row>
    <row r="54" spans="1:107" ht="12.75">
      <c r="A54">
        <f>ROW(Source!A77)</f>
        <v>77</v>
      </c>
      <c r="B54">
        <v>55468473</v>
      </c>
      <c r="C54">
        <v>55469207</v>
      </c>
      <c r="D54">
        <v>44818656</v>
      </c>
      <c r="E54">
        <v>1</v>
      </c>
      <c r="F54">
        <v>1</v>
      </c>
      <c r="G54">
        <v>1</v>
      </c>
      <c r="H54">
        <v>3</v>
      </c>
      <c r="I54" t="s">
        <v>296</v>
      </c>
      <c r="J54" t="s">
        <v>297</v>
      </c>
      <c r="K54" t="s">
        <v>298</v>
      </c>
      <c r="L54">
        <v>1339</v>
      </c>
      <c r="N54">
        <v>1007</v>
      </c>
      <c r="O54" t="s">
        <v>269</v>
      </c>
      <c r="P54" t="s">
        <v>269</v>
      </c>
      <c r="Q54">
        <v>1</v>
      </c>
      <c r="W54">
        <v>0</v>
      </c>
      <c r="X54">
        <v>-1455146012</v>
      </c>
      <c r="Y54">
        <v>0.06</v>
      </c>
      <c r="AA54">
        <v>3456.67</v>
      </c>
      <c r="AB54">
        <v>0</v>
      </c>
      <c r="AC54">
        <v>0</v>
      </c>
      <c r="AD54">
        <v>0</v>
      </c>
      <c r="AE54">
        <v>519.8</v>
      </c>
      <c r="AF54">
        <v>0</v>
      </c>
      <c r="AG54">
        <v>0</v>
      </c>
      <c r="AH54">
        <v>0</v>
      </c>
      <c r="AI54">
        <v>6.65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0.06</v>
      </c>
      <c r="AV54">
        <v>0</v>
      </c>
      <c r="AW54">
        <v>2</v>
      </c>
      <c r="AX54">
        <v>55469214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Y54*Source!I77</f>
        <v>0.0894</v>
      </c>
      <c r="CY54">
        <f>AA54</f>
        <v>3456.67</v>
      </c>
      <c r="CZ54">
        <f>AE54</f>
        <v>519.8</v>
      </c>
      <c r="DA54">
        <f>AI54</f>
        <v>6.65</v>
      </c>
      <c r="DB54">
        <f>ROUND(ROUND(AT54*CZ54,2),2)</f>
        <v>31.19</v>
      </c>
      <c r="DC54">
        <f>ROUND(ROUND(AT54*AG54,2),2)</f>
        <v>0</v>
      </c>
    </row>
    <row r="55" spans="1:107" ht="12.75">
      <c r="A55">
        <f>ROW(Source!A77)</f>
        <v>77</v>
      </c>
      <c r="B55">
        <v>55468473</v>
      </c>
      <c r="C55">
        <v>55469207</v>
      </c>
      <c r="D55">
        <v>44828430</v>
      </c>
      <c r="E55">
        <v>1</v>
      </c>
      <c r="F55">
        <v>1</v>
      </c>
      <c r="G55">
        <v>1</v>
      </c>
      <c r="H55">
        <v>3</v>
      </c>
      <c r="I55" t="s">
        <v>127</v>
      </c>
      <c r="J55" t="s">
        <v>130</v>
      </c>
      <c r="K55" t="s">
        <v>128</v>
      </c>
      <c r="L55">
        <v>1371</v>
      </c>
      <c r="N55">
        <v>1013</v>
      </c>
      <c r="O55" t="s">
        <v>129</v>
      </c>
      <c r="P55" t="s">
        <v>129</v>
      </c>
      <c r="Q55">
        <v>1</v>
      </c>
      <c r="W55">
        <v>0</v>
      </c>
      <c r="X55">
        <v>1944447477</v>
      </c>
      <c r="Y55">
        <v>100</v>
      </c>
      <c r="AA55">
        <v>419.75</v>
      </c>
      <c r="AB55">
        <v>0</v>
      </c>
      <c r="AC55">
        <v>0</v>
      </c>
      <c r="AD55">
        <v>0</v>
      </c>
      <c r="AE55">
        <v>63.12</v>
      </c>
      <c r="AF55">
        <v>0</v>
      </c>
      <c r="AG55">
        <v>0</v>
      </c>
      <c r="AH55">
        <v>0</v>
      </c>
      <c r="AI55">
        <v>6.65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T55">
        <v>100</v>
      </c>
      <c r="AV55">
        <v>0</v>
      </c>
      <c r="AW55">
        <v>1</v>
      </c>
      <c r="AX55">
        <v>-1</v>
      </c>
      <c r="AY55">
        <v>0</v>
      </c>
      <c r="AZ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Y55*Source!I77</f>
        <v>149</v>
      </c>
      <c r="CY55">
        <f>AA55</f>
        <v>419.75</v>
      </c>
      <c r="CZ55">
        <f>AE55</f>
        <v>63.12</v>
      </c>
      <c r="DA55">
        <f>AI55</f>
        <v>6.65</v>
      </c>
      <c r="DB55">
        <f>ROUND(ROUND(AT55*CZ55,2),2)</f>
        <v>6312</v>
      </c>
      <c r="DC55">
        <f>ROUND(ROUND(AT55*AG55,2),2)</f>
        <v>0</v>
      </c>
    </row>
    <row r="56" spans="1:107" ht="12.75">
      <c r="A56">
        <f>ROW(Source!A77)</f>
        <v>77</v>
      </c>
      <c r="B56">
        <v>55468473</v>
      </c>
      <c r="C56">
        <v>55469207</v>
      </c>
      <c r="D56">
        <v>44840450</v>
      </c>
      <c r="E56">
        <v>1</v>
      </c>
      <c r="F56">
        <v>1</v>
      </c>
      <c r="G56">
        <v>1</v>
      </c>
      <c r="H56">
        <v>3</v>
      </c>
      <c r="I56" t="s">
        <v>299</v>
      </c>
      <c r="J56" t="s">
        <v>300</v>
      </c>
      <c r="K56" t="s">
        <v>301</v>
      </c>
      <c r="L56">
        <v>1339</v>
      </c>
      <c r="N56">
        <v>1007</v>
      </c>
      <c r="O56" t="s">
        <v>269</v>
      </c>
      <c r="P56" t="s">
        <v>269</v>
      </c>
      <c r="Q56">
        <v>1</v>
      </c>
      <c r="W56">
        <v>0</v>
      </c>
      <c r="X56">
        <v>-1605213424</v>
      </c>
      <c r="Y56">
        <v>0.17</v>
      </c>
      <c r="AA56">
        <v>5852.07</v>
      </c>
      <c r="AB56">
        <v>0</v>
      </c>
      <c r="AC56">
        <v>0</v>
      </c>
      <c r="AD56">
        <v>0</v>
      </c>
      <c r="AE56">
        <v>880.01</v>
      </c>
      <c r="AF56">
        <v>0</v>
      </c>
      <c r="AG56">
        <v>0</v>
      </c>
      <c r="AH56">
        <v>0</v>
      </c>
      <c r="AI56">
        <v>6.65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0.17</v>
      </c>
      <c r="AV56">
        <v>0</v>
      </c>
      <c r="AW56">
        <v>2</v>
      </c>
      <c r="AX56">
        <v>55469215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Y56*Source!I77</f>
        <v>0.2533</v>
      </c>
      <c r="CY56">
        <f>AA56</f>
        <v>5852.07</v>
      </c>
      <c r="CZ56">
        <f>AE56</f>
        <v>880.01</v>
      </c>
      <c r="DA56">
        <f>AI56</f>
        <v>6.65</v>
      </c>
      <c r="DB56">
        <f>ROUND(ROUND(AT56*CZ56,2),2)</f>
        <v>149.6</v>
      </c>
      <c r="DC56">
        <f>ROUND(ROUND(AT56*AG56,2),2)</f>
        <v>0</v>
      </c>
    </row>
    <row r="57" spans="1:107" ht="12.75">
      <c r="A57">
        <f>ROW(Source!A80)</f>
        <v>80</v>
      </c>
      <c r="B57">
        <v>55468472</v>
      </c>
      <c r="C57">
        <v>55469220</v>
      </c>
      <c r="D57">
        <v>37822900</v>
      </c>
      <c r="E57">
        <v>54</v>
      </c>
      <c r="F57">
        <v>1</v>
      </c>
      <c r="G57">
        <v>1</v>
      </c>
      <c r="H57">
        <v>1</v>
      </c>
      <c r="I57" t="s">
        <v>302</v>
      </c>
      <c r="K57" t="s">
        <v>303</v>
      </c>
      <c r="L57">
        <v>1191</v>
      </c>
      <c r="N57">
        <v>1013</v>
      </c>
      <c r="O57" t="s">
        <v>245</v>
      </c>
      <c r="P57" t="s">
        <v>245</v>
      </c>
      <c r="Q57">
        <v>1</v>
      </c>
      <c r="W57">
        <v>0</v>
      </c>
      <c r="X57">
        <v>-784637506</v>
      </c>
      <c r="Y57">
        <v>23.988999999999997</v>
      </c>
      <c r="AA57">
        <v>0</v>
      </c>
      <c r="AB57">
        <v>0</v>
      </c>
      <c r="AC57">
        <v>0</v>
      </c>
      <c r="AD57">
        <v>8.74</v>
      </c>
      <c r="AE57">
        <v>0</v>
      </c>
      <c r="AF57">
        <v>0</v>
      </c>
      <c r="AG57">
        <v>0</v>
      </c>
      <c r="AH57">
        <v>8.74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20.86</v>
      </c>
      <c r="AU57" t="s">
        <v>28</v>
      </c>
      <c r="AV57">
        <v>1</v>
      </c>
      <c r="AW57">
        <v>2</v>
      </c>
      <c r="AX57">
        <v>55469245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Y57*Source!I80</f>
        <v>1.079505</v>
      </c>
      <c r="CY57">
        <f>AD57</f>
        <v>8.74</v>
      </c>
      <c r="CZ57">
        <f>AH57</f>
        <v>8.74</v>
      </c>
      <c r="DA57">
        <f>AL57</f>
        <v>1</v>
      </c>
      <c r="DB57">
        <f>ROUND((ROUND(AT57*CZ57,2)*ROUND(1.15,7)),2)</f>
        <v>209.67</v>
      </c>
      <c r="DC57">
        <f>ROUND((ROUND(AT57*AG57,2)*ROUND(1.15,7)),2)</f>
        <v>0</v>
      </c>
    </row>
    <row r="58" spans="1:107" ht="12.75">
      <c r="A58">
        <f>ROW(Source!A80)</f>
        <v>80</v>
      </c>
      <c r="B58">
        <v>55468472</v>
      </c>
      <c r="C58">
        <v>55469220</v>
      </c>
      <c r="D58">
        <v>37822850</v>
      </c>
      <c r="E58">
        <v>54</v>
      </c>
      <c r="F58">
        <v>1</v>
      </c>
      <c r="G58">
        <v>1</v>
      </c>
      <c r="H58">
        <v>1</v>
      </c>
      <c r="I58" t="s">
        <v>246</v>
      </c>
      <c r="K58" t="s">
        <v>247</v>
      </c>
      <c r="L58">
        <v>1191</v>
      </c>
      <c r="N58">
        <v>1013</v>
      </c>
      <c r="O58" t="s">
        <v>245</v>
      </c>
      <c r="P58" t="s">
        <v>245</v>
      </c>
      <c r="Q58">
        <v>1</v>
      </c>
      <c r="W58">
        <v>0</v>
      </c>
      <c r="X58">
        <v>-1417349443</v>
      </c>
      <c r="Y58">
        <v>23.5625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18.85</v>
      </c>
      <c r="AU58" t="s">
        <v>27</v>
      </c>
      <c r="AV58">
        <v>2</v>
      </c>
      <c r="AW58">
        <v>2</v>
      </c>
      <c r="AX58">
        <v>55469246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Y58*Source!I80</f>
        <v>1.0603125</v>
      </c>
      <c r="CY58">
        <f>AD58</f>
        <v>0</v>
      </c>
      <c r="CZ58">
        <f>AH58</f>
        <v>0</v>
      </c>
      <c r="DA58">
        <f>AL58</f>
        <v>1</v>
      </c>
      <c r="DB58">
        <f aca="true" t="shared" si="12" ref="DB58:DB72">ROUND((ROUND(AT58*CZ58,2)*ROUND(1.25,7)),2)</f>
        <v>0</v>
      </c>
      <c r="DC58">
        <f aca="true" t="shared" si="13" ref="DC58:DC72">ROUND((ROUND(AT58*AG58,2)*ROUND(1.25,7)),2)</f>
        <v>0</v>
      </c>
    </row>
    <row r="59" spans="1:107" ht="12.75">
      <c r="A59">
        <f>ROW(Source!A80)</f>
        <v>80</v>
      </c>
      <c r="B59">
        <v>55468472</v>
      </c>
      <c r="C59">
        <v>55469220</v>
      </c>
      <c r="D59">
        <v>44976389</v>
      </c>
      <c r="E59">
        <v>1</v>
      </c>
      <c r="F59">
        <v>1</v>
      </c>
      <c r="G59">
        <v>1</v>
      </c>
      <c r="H59">
        <v>2</v>
      </c>
      <c r="I59" t="s">
        <v>304</v>
      </c>
      <c r="J59" t="s">
        <v>305</v>
      </c>
      <c r="K59" t="s">
        <v>306</v>
      </c>
      <c r="L59">
        <v>1368</v>
      </c>
      <c r="N59">
        <v>1011</v>
      </c>
      <c r="O59" t="s">
        <v>289</v>
      </c>
      <c r="P59" t="s">
        <v>289</v>
      </c>
      <c r="Q59">
        <v>1</v>
      </c>
      <c r="W59">
        <v>0</v>
      </c>
      <c r="X59">
        <v>-1354115096</v>
      </c>
      <c r="Y59">
        <v>3.05</v>
      </c>
      <c r="AA59">
        <v>0</v>
      </c>
      <c r="AB59">
        <v>0.58</v>
      </c>
      <c r="AC59">
        <v>0</v>
      </c>
      <c r="AD59">
        <v>0</v>
      </c>
      <c r="AE59">
        <v>0</v>
      </c>
      <c r="AF59">
        <v>0.58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2.44</v>
      </c>
      <c r="AU59" t="s">
        <v>27</v>
      </c>
      <c r="AV59">
        <v>0</v>
      </c>
      <c r="AW59">
        <v>2</v>
      </c>
      <c r="AX59">
        <v>55469247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Y59*Source!I80</f>
        <v>0.13724999999999998</v>
      </c>
      <c r="CY59">
        <f aca="true" t="shared" si="14" ref="CY59:CY72">AB59</f>
        <v>0.58</v>
      </c>
      <c r="CZ59">
        <f aca="true" t="shared" si="15" ref="CZ59:CZ72">AF59</f>
        <v>0.58</v>
      </c>
      <c r="DA59">
        <f aca="true" t="shared" si="16" ref="DA59:DA72">AJ59</f>
        <v>1</v>
      </c>
      <c r="DB59">
        <f t="shared" si="12"/>
        <v>1.78</v>
      </c>
      <c r="DC59">
        <f t="shared" si="13"/>
        <v>0</v>
      </c>
    </row>
    <row r="60" spans="1:107" ht="12.75">
      <c r="A60">
        <f>ROW(Source!A80)</f>
        <v>80</v>
      </c>
      <c r="B60">
        <v>55468472</v>
      </c>
      <c r="C60">
        <v>55469220</v>
      </c>
      <c r="D60">
        <v>44976423</v>
      </c>
      <c r="E60">
        <v>1</v>
      </c>
      <c r="F60">
        <v>1</v>
      </c>
      <c r="G60">
        <v>1</v>
      </c>
      <c r="H60">
        <v>2</v>
      </c>
      <c r="I60" t="s">
        <v>39</v>
      </c>
      <c r="J60" t="s">
        <v>42</v>
      </c>
      <c r="K60" t="s">
        <v>40</v>
      </c>
      <c r="L60">
        <v>1368</v>
      </c>
      <c r="N60">
        <v>1011</v>
      </c>
      <c r="O60" t="s">
        <v>289</v>
      </c>
      <c r="P60" t="s">
        <v>289</v>
      </c>
      <c r="Q60">
        <v>1</v>
      </c>
      <c r="W60">
        <v>0</v>
      </c>
      <c r="X60">
        <v>-1238471744</v>
      </c>
      <c r="Y60">
        <v>0.6875</v>
      </c>
      <c r="AA60">
        <v>0</v>
      </c>
      <c r="AB60">
        <v>89.99</v>
      </c>
      <c r="AC60">
        <v>10.06</v>
      </c>
      <c r="AD60">
        <v>0</v>
      </c>
      <c r="AE60">
        <v>0</v>
      </c>
      <c r="AF60">
        <v>89.99</v>
      </c>
      <c r="AG60">
        <v>10.06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0.55</v>
      </c>
      <c r="AU60" t="s">
        <v>27</v>
      </c>
      <c r="AV60">
        <v>0</v>
      </c>
      <c r="AW60">
        <v>2</v>
      </c>
      <c r="AX60">
        <v>55469248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Y60*Source!I80</f>
        <v>0.0309375</v>
      </c>
      <c r="CY60">
        <f t="shared" si="14"/>
        <v>89.99</v>
      </c>
      <c r="CZ60">
        <f t="shared" si="15"/>
        <v>89.99</v>
      </c>
      <c r="DA60">
        <f t="shared" si="16"/>
        <v>1</v>
      </c>
      <c r="DB60">
        <f t="shared" si="12"/>
        <v>61.86</v>
      </c>
      <c r="DC60">
        <f t="shared" si="13"/>
        <v>6.91</v>
      </c>
    </row>
    <row r="61" spans="1:107" ht="12.75">
      <c r="A61">
        <f>ROW(Source!A80)</f>
        <v>80</v>
      </c>
      <c r="B61">
        <v>55468472</v>
      </c>
      <c r="C61">
        <v>55469220</v>
      </c>
      <c r="D61">
        <v>44976638</v>
      </c>
      <c r="E61">
        <v>1</v>
      </c>
      <c r="F61">
        <v>1</v>
      </c>
      <c r="G61">
        <v>1</v>
      </c>
      <c r="H61">
        <v>2</v>
      </c>
      <c r="I61" t="s">
        <v>307</v>
      </c>
      <c r="J61" t="s">
        <v>308</v>
      </c>
      <c r="K61" t="s">
        <v>309</v>
      </c>
      <c r="L61">
        <v>1368</v>
      </c>
      <c r="N61">
        <v>1011</v>
      </c>
      <c r="O61" t="s">
        <v>289</v>
      </c>
      <c r="P61" t="s">
        <v>289</v>
      </c>
      <c r="Q61">
        <v>1</v>
      </c>
      <c r="W61">
        <v>0</v>
      </c>
      <c r="X61">
        <v>-2017054938</v>
      </c>
      <c r="Y61">
        <v>2.55</v>
      </c>
      <c r="AA61">
        <v>0</v>
      </c>
      <c r="AB61">
        <v>694.79</v>
      </c>
      <c r="AC61">
        <v>16.44</v>
      </c>
      <c r="AD61">
        <v>0</v>
      </c>
      <c r="AE61">
        <v>0</v>
      </c>
      <c r="AF61">
        <v>694.79</v>
      </c>
      <c r="AG61">
        <v>16.44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2.04</v>
      </c>
      <c r="AU61" t="s">
        <v>27</v>
      </c>
      <c r="AV61">
        <v>0</v>
      </c>
      <c r="AW61">
        <v>2</v>
      </c>
      <c r="AX61">
        <v>55469249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Y61*Source!I80</f>
        <v>0.11474999999999999</v>
      </c>
      <c r="CY61">
        <f t="shared" si="14"/>
        <v>694.79</v>
      </c>
      <c r="CZ61">
        <f t="shared" si="15"/>
        <v>694.79</v>
      </c>
      <c r="DA61">
        <f t="shared" si="16"/>
        <v>1</v>
      </c>
      <c r="DB61">
        <f t="shared" si="12"/>
        <v>1771.71</v>
      </c>
      <c r="DC61">
        <f t="shared" si="13"/>
        <v>41.93</v>
      </c>
    </row>
    <row r="62" spans="1:107" ht="12.75">
      <c r="A62">
        <f>ROW(Source!A80)</f>
        <v>80</v>
      </c>
      <c r="B62">
        <v>55468472</v>
      </c>
      <c r="C62">
        <v>55469220</v>
      </c>
      <c r="D62">
        <v>44976678</v>
      </c>
      <c r="E62">
        <v>1</v>
      </c>
      <c r="F62">
        <v>1</v>
      </c>
      <c r="G62">
        <v>1</v>
      </c>
      <c r="H62">
        <v>2</v>
      </c>
      <c r="I62" t="s">
        <v>310</v>
      </c>
      <c r="J62" t="s">
        <v>311</v>
      </c>
      <c r="K62" t="s">
        <v>312</v>
      </c>
      <c r="L62">
        <v>1368</v>
      </c>
      <c r="N62">
        <v>1011</v>
      </c>
      <c r="O62" t="s">
        <v>289</v>
      </c>
      <c r="P62" t="s">
        <v>289</v>
      </c>
      <c r="Q62">
        <v>1</v>
      </c>
      <c r="W62">
        <v>0</v>
      </c>
      <c r="X62">
        <v>2072538428</v>
      </c>
      <c r="Y62">
        <v>2.6750000000000003</v>
      </c>
      <c r="AA62">
        <v>0</v>
      </c>
      <c r="AB62">
        <v>247.24</v>
      </c>
      <c r="AC62">
        <v>11.6</v>
      </c>
      <c r="AD62">
        <v>0</v>
      </c>
      <c r="AE62">
        <v>0</v>
      </c>
      <c r="AF62">
        <v>247.24</v>
      </c>
      <c r="AG62">
        <v>11.6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2.14</v>
      </c>
      <c r="AU62" t="s">
        <v>27</v>
      </c>
      <c r="AV62">
        <v>0</v>
      </c>
      <c r="AW62">
        <v>2</v>
      </c>
      <c r="AX62">
        <v>55469250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Y62*Source!I80</f>
        <v>0.12037500000000001</v>
      </c>
      <c r="CY62">
        <f t="shared" si="14"/>
        <v>247.24</v>
      </c>
      <c r="CZ62">
        <f t="shared" si="15"/>
        <v>247.24</v>
      </c>
      <c r="DA62">
        <f t="shared" si="16"/>
        <v>1</v>
      </c>
      <c r="DB62">
        <f t="shared" si="12"/>
        <v>661.36</v>
      </c>
      <c r="DC62">
        <f t="shared" si="13"/>
        <v>31.03</v>
      </c>
    </row>
    <row r="63" spans="1:107" ht="12.75">
      <c r="A63">
        <f>ROW(Source!A80)</f>
        <v>80</v>
      </c>
      <c r="B63">
        <v>55468472</v>
      </c>
      <c r="C63">
        <v>55469220</v>
      </c>
      <c r="D63">
        <v>44976706</v>
      </c>
      <c r="E63">
        <v>1</v>
      </c>
      <c r="F63">
        <v>1</v>
      </c>
      <c r="G63">
        <v>1</v>
      </c>
      <c r="H63">
        <v>2</v>
      </c>
      <c r="I63" t="s">
        <v>313</v>
      </c>
      <c r="J63" t="s">
        <v>314</v>
      </c>
      <c r="K63" t="s">
        <v>315</v>
      </c>
      <c r="L63">
        <v>1368</v>
      </c>
      <c r="N63">
        <v>1011</v>
      </c>
      <c r="O63" t="s">
        <v>289</v>
      </c>
      <c r="P63" t="s">
        <v>289</v>
      </c>
      <c r="Q63">
        <v>1</v>
      </c>
      <c r="W63">
        <v>0</v>
      </c>
      <c r="X63">
        <v>756932948</v>
      </c>
      <c r="Y63">
        <v>1.8875</v>
      </c>
      <c r="AA63">
        <v>0</v>
      </c>
      <c r="AB63">
        <v>216.98</v>
      </c>
      <c r="AC63">
        <v>11.6</v>
      </c>
      <c r="AD63">
        <v>0</v>
      </c>
      <c r="AE63">
        <v>0</v>
      </c>
      <c r="AF63">
        <v>216.98</v>
      </c>
      <c r="AG63">
        <v>11.6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1.51</v>
      </c>
      <c r="AU63" t="s">
        <v>27</v>
      </c>
      <c r="AV63">
        <v>0</v>
      </c>
      <c r="AW63">
        <v>2</v>
      </c>
      <c r="AX63">
        <v>55469251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Y63*Source!I80</f>
        <v>0.0849375</v>
      </c>
      <c r="CY63">
        <f t="shared" si="14"/>
        <v>216.98</v>
      </c>
      <c r="CZ63">
        <f t="shared" si="15"/>
        <v>216.98</v>
      </c>
      <c r="DA63">
        <f t="shared" si="16"/>
        <v>1</v>
      </c>
      <c r="DB63">
        <f t="shared" si="12"/>
        <v>409.55</v>
      </c>
      <c r="DC63">
        <f t="shared" si="13"/>
        <v>21.9</v>
      </c>
    </row>
    <row r="64" spans="1:107" ht="12.75">
      <c r="A64">
        <f>ROW(Source!A80)</f>
        <v>80</v>
      </c>
      <c r="B64">
        <v>55468472</v>
      </c>
      <c r="C64">
        <v>55469220</v>
      </c>
      <c r="D64">
        <v>44976708</v>
      </c>
      <c r="E64">
        <v>1</v>
      </c>
      <c r="F64">
        <v>1</v>
      </c>
      <c r="G64">
        <v>1</v>
      </c>
      <c r="H64">
        <v>2</v>
      </c>
      <c r="I64" t="s">
        <v>316</v>
      </c>
      <c r="J64" t="s">
        <v>317</v>
      </c>
      <c r="K64" t="s">
        <v>318</v>
      </c>
      <c r="L64">
        <v>1368</v>
      </c>
      <c r="N64">
        <v>1011</v>
      </c>
      <c r="O64" t="s">
        <v>289</v>
      </c>
      <c r="P64" t="s">
        <v>289</v>
      </c>
      <c r="Q64">
        <v>1</v>
      </c>
      <c r="W64">
        <v>0</v>
      </c>
      <c r="X64">
        <v>-777893020</v>
      </c>
      <c r="Y64">
        <v>3.2375</v>
      </c>
      <c r="AA64">
        <v>0</v>
      </c>
      <c r="AB64">
        <v>236.79</v>
      </c>
      <c r="AC64">
        <v>13.5</v>
      </c>
      <c r="AD64">
        <v>0</v>
      </c>
      <c r="AE64">
        <v>0</v>
      </c>
      <c r="AF64">
        <v>236.79</v>
      </c>
      <c r="AG64">
        <v>13.5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2.59</v>
      </c>
      <c r="AU64" t="s">
        <v>27</v>
      </c>
      <c r="AV64">
        <v>0</v>
      </c>
      <c r="AW64">
        <v>2</v>
      </c>
      <c r="AX64">
        <v>55469252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Y64*Source!I80</f>
        <v>0.1456875</v>
      </c>
      <c r="CY64">
        <f t="shared" si="14"/>
        <v>236.79</v>
      </c>
      <c r="CZ64">
        <f t="shared" si="15"/>
        <v>236.79</v>
      </c>
      <c r="DA64">
        <f t="shared" si="16"/>
        <v>1</v>
      </c>
      <c r="DB64">
        <f t="shared" si="12"/>
        <v>766.61</v>
      </c>
      <c r="DC64">
        <f t="shared" si="13"/>
        <v>43.71</v>
      </c>
    </row>
    <row r="65" spans="1:107" ht="12.75">
      <c r="A65">
        <f>ROW(Source!A80)</f>
        <v>80</v>
      </c>
      <c r="B65">
        <v>55468472</v>
      </c>
      <c r="C65">
        <v>55469220</v>
      </c>
      <c r="D65">
        <v>44976710</v>
      </c>
      <c r="E65">
        <v>1</v>
      </c>
      <c r="F65">
        <v>1</v>
      </c>
      <c r="G65">
        <v>1</v>
      </c>
      <c r="H65">
        <v>2</v>
      </c>
      <c r="I65" t="s">
        <v>319</v>
      </c>
      <c r="J65" t="s">
        <v>320</v>
      </c>
      <c r="K65" t="s">
        <v>321</v>
      </c>
      <c r="L65">
        <v>1368</v>
      </c>
      <c r="N65">
        <v>1011</v>
      </c>
      <c r="O65" t="s">
        <v>289</v>
      </c>
      <c r="P65" t="s">
        <v>289</v>
      </c>
      <c r="Q65">
        <v>1</v>
      </c>
      <c r="W65">
        <v>0</v>
      </c>
      <c r="X65">
        <v>1305923758</v>
      </c>
      <c r="Y65">
        <v>1.2125</v>
      </c>
      <c r="AA65">
        <v>0</v>
      </c>
      <c r="AB65">
        <v>298.31</v>
      </c>
      <c r="AC65">
        <v>13.5</v>
      </c>
      <c r="AD65">
        <v>0</v>
      </c>
      <c r="AE65">
        <v>0</v>
      </c>
      <c r="AF65">
        <v>298.31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0.97</v>
      </c>
      <c r="AU65" t="s">
        <v>27</v>
      </c>
      <c r="AV65">
        <v>0</v>
      </c>
      <c r="AW65">
        <v>2</v>
      </c>
      <c r="AX65">
        <v>55469253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Y65*Source!I80</f>
        <v>0.05456249999999999</v>
      </c>
      <c r="CY65">
        <f t="shared" si="14"/>
        <v>298.31</v>
      </c>
      <c r="CZ65">
        <f t="shared" si="15"/>
        <v>298.31</v>
      </c>
      <c r="DA65">
        <f t="shared" si="16"/>
        <v>1</v>
      </c>
      <c r="DB65">
        <f t="shared" si="12"/>
        <v>361.7</v>
      </c>
      <c r="DC65">
        <f t="shared" si="13"/>
        <v>16.38</v>
      </c>
    </row>
    <row r="66" spans="1:107" ht="12.75">
      <c r="A66">
        <f>ROW(Source!A80)</f>
        <v>80</v>
      </c>
      <c r="B66">
        <v>55468472</v>
      </c>
      <c r="C66">
        <v>55469220</v>
      </c>
      <c r="D66">
        <v>44976759</v>
      </c>
      <c r="E66">
        <v>1</v>
      </c>
      <c r="F66">
        <v>1</v>
      </c>
      <c r="G66">
        <v>1</v>
      </c>
      <c r="H66">
        <v>2</v>
      </c>
      <c r="I66" t="s">
        <v>322</v>
      </c>
      <c r="J66" t="s">
        <v>323</v>
      </c>
      <c r="K66" t="s">
        <v>324</v>
      </c>
      <c r="L66">
        <v>1368</v>
      </c>
      <c r="N66">
        <v>1011</v>
      </c>
      <c r="O66" t="s">
        <v>289</v>
      </c>
      <c r="P66" t="s">
        <v>289</v>
      </c>
      <c r="Q66">
        <v>1</v>
      </c>
      <c r="W66">
        <v>0</v>
      </c>
      <c r="X66">
        <v>1410261369</v>
      </c>
      <c r="Y66">
        <v>1.9</v>
      </c>
      <c r="AA66">
        <v>0</v>
      </c>
      <c r="AB66">
        <v>19.04</v>
      </c>
      <c r="AC66">
        <v>0</v>
      </c>
      <c r="AD66">
        <v>0</v>
      </c>
      <c r="AE66">
        <v>0</v>
      </c>
      <c r="AF66">
        <v>19.04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1.52</v>
      </c>
      <c r="AU66" t="s">
        <v>27</v>
      </c>
      <c r="AV66">
        <v>0</v>
      </c>
      <c r="AW66">
        <v>2</v>
      </c>
      <c r="AX66">
        <v>55469254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Y66*Source!I80</f>
        <v>0.08549999999999999</v>
      </c>
      <c r="CY66">
        <f t="shared" si="14"/>
        <v>19.04</v>
      </c>
      <c r="CZ66">
        <f t="shared" si="15"/>
        <v>19.04</v>
      </c>
      <c r="DA66">
        <f t="shared" si="16"/>
        <v>1</v>
      </c>
      <c r="DB66">
        <f t="shared" si="12"/>
        <v>36.18</v>
      </c>
      <c r="DC66">
        <f t="shared" si="13"/>
        <v>0</v>
      </c>
    </row>
    <row r="67" spans="1:107" ht="12.75">
      <c r="A67">
        <f>ROW(Source!A80)</f>
        <v>80</v>
      </c>
      <c r="B67">
        <v>55468472</v>
      </c>
      <c r="C67">
        <v>55469220</v>
      </c>
      <c r="D67">
        <v>44976813</v>
      </c>
      <c r="E67">
        <v>1</v>
      </c>
      <c r="F67">
        <v>1</v>
      </c>
      <c r="G67">
        <v>1</v>
      </c>
      <c r="H67">
        <v>2</v>
      </c>
      <c r="I67" t="s">
        <v>325</v>
      </c>
      <c r="J67" t="s">
        <v>326</v>
      </c>
      <c r="K67" t="s">
        <v>327</v>
      </c>
      <c r="L67">
        <v>1368</v>
      </c>
      <c r="N67">
        <v>1011</v>
      </c>
      <c r="O67" t="s">
        <v>289</v>
      </c>
      <c r="P67" t="s">
        <v>289</v>
      </c>
      <c r="Q67">
        <v>1</v>
      </c>
      <c r="W67">
        <v>0</v>
      </c>
      <c r="X67">
        <v>2072184356</v>
      </c>
      <c r="Y67">
        <v>2.55</v>
      </c>
      <c r="AA67">
        <v>0</v>
      </c>
      <c r="AB67">
        <v>1503.75</v>
      </c>
      <c r="AC67">
        <v>14.4</v>
      </c>
      <c r="AD67">
        <v>0</v>
      </c>
      <c r="AE67">
        <v>0</v>
      </c>
      <c r="AF67">
        <v>1503.75</v>
      </c>
      <c r="AG67">
        <v>14.4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2.04</v>
      </c>
      <c r="AU67" t="s">
        <v>27</v>
      </c>
      <c r="AV67">
        <v>0</v>
      </c>
      <c r="AW67">
        <v>2</v>
      </c>
      <c r="AX67">
        <v>55469255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Y67*Source!I80</f>
        <v>0.11474999999999999</v>
      </c>
      <c r="CY67">
        <f t="shared" si="14"/>
        <v>1503.75</v>
      </c>
      <c r="CZ67">
        <f t="shared" si="15"/>
        <v>1503.75</v>
      </c>
      <c r="DA67">
        <f t="shared" si="16"/>
        <v>1</v>
      </c>
      <c r="DB67">
        <f t="shared" si="12"/>
        <v>3834.56</v>
      </c>
      <c r="DC67">
        <f t="shared" si="13"/>
        <v>36.73</v>
      </c>
    </row>
    <row r="68" spans="1:107" ht="12.75">
      <c r="A68">
        <f>ROW(Source!A80)</f>
        <v>80</v>
      </c>
      <c r="B68">
        <v>55468472</v>
      </c>
      <c r="C68">
        <v>55469220</v>
      </c>
      <c r="D68">
        <v>44976814</v>
      </c>
      <c r="E68">
        <v>1</v>
      </c>
      <c r="F68">
        <v>1</v>
      </c>
      <c r="G68">
        <v>1</v>
      </c>
      <c r="H68">
        <v>2</v>
      </c>
      <c r="I68" t="s">
        <v>328</v>
      </c>
      <c r="J68" t="s">
        <v>329</v>
      </c>
      <c r="K68" t="s">
        <v>330</v>
      </c>
      <c r="L68">
        <v>1368</v>
      </c>
      <c r="N68">
        <v>1011</v>
      </c>
      <c r="O68" t="s">
        <v>289</v>
      </c>
      <c r="P68" t="s">
        <v>289</v>
      </c>
      <c r="Q68">
        <v>1</v>
      </c>
      <c r="W68">
        <v>0</v>
      </c>
      <c r="X68">
        <v>-683120804</v>
      </c>
      <c r="Y68">
        <v>2.55</v>
      </c>
      <c r="AA68">
        <v>0</v>
      </c>
      <c r="AB68">
        <v>19.4</v>
      </c>
      <c r="AC68">
        <v>0</v>
      </c>
      <c r="AD68">
        <v>0</v>
      </c>
      <c r="AE68">
        <v>0</v>
      </c>
      <c r="AF68">
        <v>19.4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2.04</v>
      </c>
      <c r="AU68" t="s">
        <v>27</v>
      </c>
      <c r="AV68">
        <v>0</v>
      </c>
      <c r="AW68">
        <v>2</v>
      </c>
      <c r="AX68">
        <v>55469256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Y68*Source!I80</f>
        <v>0.11474999999999999</v>
      </c>
      <c r="CY68">
        <f t="shared" si="14"/>
        <v>19.4</v>
      </c>
      <c r="CZ68">
        <f t="shared" si="15"/>
        <v>19.4</v>
      </c>
      <c r="DA68">
        <f t="shared" si="16"/>
        <v>1</v>
      </c>
      <c r="DB68">
        <f t="shared" si="12"/>
        <v>49.48</v>
      </c>
      <c r="DC68">
        <f t="shared" si="13"/>
        <v>0</v>
      </c>
    </row>
    <row r="69" spans="1:107" ht="12.75">
      <c r="A69">
        <f>ROW(Source!A80)</f>
        <v>80</v>
      </c>
      <c r="B69">
        <v>55468472</v>
      </c>
      <c r="C69">
        <v>55469220</v>
      </c>
      <c r="D69">
        <v>44977227</v>
      </c>
      <c r="E69">
        <v>1</v>
      </c>
      <c r="F69">
        <v>1</v>
      </c>
      <c r="G69">
        <v>1</v>
      </c>
      <c r="H69">
        <v>2</v>
      </c>
      <c r="I69" t="s">
        <v>254</v>
      </c>
      <c r="J69" t="s">
        <v>255</v>
      </c>
      <c r="K69" t="s">
        <v>256</v>
      </c>
      <c r="L69">
        <v>1368</v>
      </c>
      <c r="N69">
        <v>1011</v>
      </c>
      <c r="O69" t="s">
        <v>289</v>
      </c>
      <c r="P69" t="s">
        <v>289</v>
      </c>
      <c r="Q69">
        <v>1</v>
      </c>
      <c r="W69">
        <v>0</v>
      </c>
      <c r="X69">
        <v>-101166653</v>
      </c>
      <c r="Y69">
        <v>3.875</v>
      </c>
      <c r="AA69">
        <v>0</v>
      </c>
      <c r="AB69">
        <v>110</v>
      </c>
      <c r="AC69">
        <v>11.6</v>
      </c>
      <c r="AD69">
        <v>0</v>
      </c>
      <c r="AE69">
        <v>0</v>
      </c>
      <c r="AF69">
        <v>110</v>
      </c>
      <c r="AG69">
        <v>11.6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3.1</v>
      </c>
      <c r="AU69" t="s">
        <v>27</v>
      </c>
      <c r="AV69">
        <v>0</v>
      </c>
      <c r="AW69">
        <v>2</v>
      </c>
      <c r="AX69">
        <v>55469257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Y69*Source!I80</f>
        <v>0.174375</v>
      </c>
      <c r="CY69">
        <f t="shared" si="14"/>
        <v>110</v>
      </c>
      <c r="CZ69">
        <f t="shared" si="15"/>
        <v>110</v>
      </c>
      <c r="DA69">
        <f t="shared" si="16"/>
        <v>1</v>
      </c>
      <c r="DB69">
        <f t="shared" si="12"/>
        <v>426.25</v>
      </c>
      <c r="DC69">
        <f t="shared" si="13"/>
        <v>44.95</v>
      </c>
    </row>
    <row r="70" spans="1:107" ht="12.75">
      <c r="A70">
        <f>ROW(Source!A80)</f>
        <v>80</v>
      </c>
      <c r="B70">
        <v>55468472</v>
      </c>
      <c r="C70">
        <v>55469220</v>
      </c>
      <c r="D70">
        <v>44977264</v>
      </c>
      <c r="E70">
        <v>1</v>
      </c>
      <c r="F70">
        <v>1</v>
      </c>
      <c r="G70">
        <v>1</v>
      </c>
      <c r="H70">
        <v>2</v>
      </c>
      <c r="I70" t="s">
        <v>331</v>
      </c>
      <c r="J70" t="s">
        <v>332</v>
      </c>
      <c r="K70" t="s">
        <v>333</v>
      </c>
      <c r="L70">
        <v>1368</v>
      </c>
      <c r="N70">
        <v>1011</v>
      </c>
      <c r="O70" t="s">
        <v>289</v>
      </c>
      <c r="P70" t="s">
        <v>289</v>
      </c>
      <c r="Q70">
        <v>1</v>
      </c>
      <c r="W70">
        <v>0</v>
      </c>
      <c r="X70">
        <v>1674069948</v>
      </c>
      <c r="Y70">
        <v>0.25</v>
      </c>
      <c r="AA70">
        <v>0</v>
      </c>
      <c r="AB70">
        <v>92.86</v>
      </c>
      <c r="AC70">
        <v>11.6</v>
      </c>
      <c r="AD70">
        <v>0</v>
      </c>
      <c r="AE70">
        <v>0</v>
      </c>
      <c r="AF70">
        <v>92.86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0.2</v>
      </c>
      <c r="AU70" t="s">
        <v>27</v>
      </c>
      <c r="AV70">
        <v>0</v>
      </c>
      <c r="AW70">
        <v>2</v>
      </c>
      <c r="AX70">
        <v>55469258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Y70*Source!I80</f>
        <v>0.01125</v>
      </c>
      <c r="CY70">
        <f t="shared" si="14"/>
        <v>92.86</v>
      </c>
      <c r="CZ70">
        <f t="shared" si="15"/>
        <v>92.86</v>
      </c>
      <c r="DA70">
        <f t="shared" si="16"/>
        <v>1</v>
      </c>
      <c r="DB70">
        <f t="shared" si="12"/>
        <v>23.21</v>
      </c>
      <c r="DC70">
        <f t="shared" si="13"/>
        <v>2.9</v>
      </c>
    </row>
    <row r="71" spans="1:107" ht="12.75">
      <c r="A71">
        <f>ROW(Source!A80)</f>
        <v>80</v>
      </c>
      <c r="B71">
        <v>55468472</v>
      </c>
      <c r="C71">
        <v>55469220</v>
      </c>
      <c r="D71">
        <v>44977523</v>
      </c>
      <c r="E71">
        <v>1</v>
      </c>
      <c r="F71">
        <v>1</v>
      </c>
      <c r="G71">
        <v>1</v>
      </c>
      <c r="H71">
        <v>2</v>
      </c>
      <c r="I71" t="s">
        <v>334</v>
      </c>
      <c r="J71" t="s">
        <v>335</v>
      </c>
      <c r="K71" t="s">
        <v>336</v>
      </c>
      <c r="L71">
        <v>1368</v>
      </c>
      <c r="N71">
        <v>1011</v>
      </c>
      <c r="O71" t="s">
        <v>289</v>
      </c>
      <c r="P71" t="s">
        <v>289</v>
      </c>
      <c r="Q71">
        <v>1</v>
      </c>
      <c r="W71">
        <v>0</v>
      </c>
      <c r="X71">
        <v>-1427538762</v>
      </c>
      <c r="Y71">
        <v>4.6375</v>
      </c>
      <c r="AA71">
        <v>0</v>
      </c>
      <c r="AB71">
        <v>203.2</v>
      </c>
      <c r="AC71">
        <v>10.06</v>
      </c>
      <c r="AD71">
        <v>0</v>
      </c>
      <c r="AE71">
        <v>0</v>
      </c>
      <c r="AF71">
        <v>203.2</v>
      </c>
      <c r="AG71">
        <v>10.06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3.71</v>
      </c>
      <c r="AU71" t="s">
        <v>27</v>
      </c>
      <c r="AV71">
        <v>0</v>
      </c>
      <c r="AW71">
        <v>2</v>
      </c>
      <c r="AX71">
        <v>55469259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Y71*Source!I80</f>
        <v>0.2086875</v>
      </c>
      <c r="CY71">
        <f t="shared" si="14"/>
        <v>203.2</v>
      </c>
      <c r="CZ71">
        <f t="shared" si="15"/>
        <v>203.2</v>
      </c>
      <c r="DA71">
        <f t="shared" si="16"/>
        <v>1</v>
      </c>
      <c r="DB71">
        <f t="shared" si="12"/>
        <v>942.34</v>
      </c>
      <c r="DC71">
        <f t="shared" si="13"/>
        <v>46.65</v>
      </c>
    </row>
    <row r="72" spans="1:107" ht="12.75">
      <c r="A72">
        <f>ROW(Source!A80)</f>
        <v>80</v>
      </c>
      <c r="B72">
        <v>55468472</v>
      </c>
      <c r="C72">
        <v>55469220</v>
      </c>
      <c r="D72">
        <v>44978015</v>
      </c>
      <c r="E72">
        <v>1</v>
      </c>
      <c r="F72">
        <v>1</v>
      </c>
      <c r="G72">
        <v>1</v>
      </c>
      <c r="H72">
        <v>2</v>
      </c>
      <c r="I72" t="s">
        <v>279</v>
      </c>
      <c r="J72" t="s">
        <v>280</v>
      </c>
      <c r="K72" t="s">
        <v>281</v>
      </c>
      <c r="L72">
        <v>1368</v>
      </c>
      <c r="N72">
        <v>1011</v>
      </c>
      <c r="O72" t="s">
        <v>289</v>
      </c>
      <c r="P72" t="s">
        <v>289</v>
      </c>
      <c r="Q72">
        <v>1</v>
      </c>
      <c r="W72">
        <v>0</v>
      </c>
      <c r="X72">
        <v>195167108</v>
      </c>
      <c r="Y72">
        <v>1.4375</v>
      </c>
      <c r="AA72">
        <v>0</v>
      </c>
      <c r="AB72">
        <v>1.53</v>
      </c>
      <c r="AC72">
        <v>0</v>
      </c>
      <c r="AD72">
        <v>0</v>
      </c>
      <c r="AE72">
        <v>0</v>
      </c>
      <c r="AF72">
        <v>1.53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1.15</v>
      </c>
      <c r="AU72" t="s">
        <v>27</v>
      </c>
      <c r="AV72">
        <v>0</v>
      </c>
      <c r="AW72">
        <v>2</v>
      </c>
      <c r="AX72">
        <v>55469260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Y72*Source!I80</f>
        <v>0.0646875</v>
      </c>
      <c r="CY72">
        <f t="shared" si="14"/>
        <v>1.53</v>
      </c>
      <c r="CZ72">
        <f t="shared" si="15"/>
        <v>1.53</v>
      </c>
      <c r="DA72">
        <f t="shared" si="16"/>
        <v>1</v>
      </c>
      <c r="DB72">
        <f t="shared" si="12"/>
        <v>2.2</v>
      </c>
      <c r="DC72">
        <f t="shared" si="13"/>
        <v>0</v>
      </c>
    </row>
    <row r="73" spans="1:107" ht="12.75">
      <c r="A73">
        <f>ROW(Source!A80)</f>
        <v>80</v>
      </c>
      <c r="B73">
        <v>55468472</v>
      </c>
      <c r="C73">
        <v>55469220</v>
      </c>
      <c r="D73">
        <v>44810508</v>
      </c>
      <c r="E73">
        <v>1</v>
      </c>
      <c r="F73">
        <v>1</v>
      </c>
      <c r="G73">
        <v>1</v>
      </c>
      <c r="H73">
        <v>3</v>
      </c>
      <c r="I73" t="s">
        <v>337</v>
      </c>
      <c r="J73" t="s">
        <v>338</v>
      </c>
      <c r="K73" t="s">
        <v>339</v>
      </c>
      <c r="L73">
        <v>1348</v>
      </c>
      <c r="N73">
        <v>1009</v>
      </c>
      <c r="O73" t="s">
        <v>138</v>
      </c>
      <c r="P73" t="s">
        <v>138</v>
      </c>
      <c r="Q73">
        <v>1000</v>
      </c>
      <c r="W73">
        <v>0</v>
      </c>
      <c r="X73">
        <v>-174182251</v>
      </c>
      <c r="Y73">
        <v>0.004</v>
      </c>
      <c r="AA73">
        <v>1554.2</v>
      </c>
      <c r="AB73">
        <v>0</v>
      </c>
      <c r="AC73">
        <v>0</v>
      </c>
      <c r="AD73">
        <v>0</v>
      </c>
      <c r="AE73">
        <v>1554.2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0.004</v>
      </c>
      <c r="AV73">
        <v>0</v>
      </c>
      <c r="AW73">
        <v>2</v>
      </c>
      <c r="AX73">
        <v>55469261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Y73*Source!I80</f>
        <v>0.00017999999999999998</v>
      </c>
      <c r="CY73">
        <f aca="true" t="shared" si="17" ref="CY73:CY80">AA73</f>
        <v>1554.2</v>
      </c>
      <c r="CZ73">
        <f aca="true" t="shared" si="18" ref="CZ73:CZ80">AE73</f>
        <v>1554.2</v>
      </c>
      <c r="DA73">
        <f aca="true" t="shared" si="19" ref="DA73:DA80">AI73</f>
        <v>1</v>
      </c>
      <c r="DB73">
        <f aca="true" t="shared" si="20" ref="DB73:DB80">ROUND(ROUND(AT73*CZ73,2),2)</f>
        <v>6.22</v>
      </c>
      <c r="DC73">
        <f aca="true" t="shared" si="21" ref="DC73:DC80">ROUND(ROUND(AT73*AG73,2),2)</f>
        <v>0</v>
      </c>
    </row>
    <row r="74" spans="1:107" ht="12.75">
      <c r="A74">
        <f>ROW(Source!A80)</f>
        <v>80</v>
      </c>
      <c r="B74">
        <v>55468472</v>
      </c>
      <c r="C74">
        <v>55469220</v>
      </c>
      <c r="D74">
        <v>44812338</v>
      </c>
      <c r="E74">
        <v>1</v>
      </c>
      <c r="F74">
        <v>1</v>
      </c>
      <c r="G74">
        <v>1</v>
      </c>
      <c r="H74">
        <v>3</v>
      </c>
      <c r="I74" t="s">
        <v>340</v>
      </c>
      <c r="J74" t="s">
        <v>341</v>
      </c>
      <c r="K74" t="s">
        <v>342</v>
      </c>
      <c r="L74">
        <v>1339</v>
      </c>
      <c r="N74">
        <v>1007</v>
      </c>
      <c r="O74" t="s">
        <v>269</v>
      </c>
      <c r="P74" t="s">
        <v>269</v>
      </c>
      <c r="Q74">
        <v>1</v>
      </c>
      <c r="W74">
        <v>0</v>
      </c>
      <c r="X74">
        <v>-771516631</v>
      </c>
      <c r="Y74">
        <v>20.52</v>
      </c>
      <c r="AA74">
        <v>3.15</v>
      </c>
      <c r="AB74">
        <v>0</v>
      </c>
      <c r="AC74">
        <v>0</v>
      </c>
      <c r="AD74">
        <v>0</v>
      </c>
      <c r="AE74">
        <v>3.15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20.52</v>
      </c>
      <c r="AV74">
        <v>0</v>
      </c>
      <c r="AW74">
        <v>2</v>
      </c>
      <c r="AX74">
        <v>55469262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Y74*Source!I80</f>
        <v>0.9234</v>
      </c>
      <c r="CY74">
        <f t="shared" si="17"/>
        <v>3.15</v>
      </c>
      <c r="CZ74">
        <f t="shared" si="18"/>
        <v>3.15</v>
      </c>
      <c r="DA74">
        <f t="shared" si="19"/>
        <v>1</v>
      </c>
      <c r="DB74">
        <f t="shared" si="20"/>
        <v>64.64</v>
      </c>
      <c r="DC74">
        <f t="shared" si="21"/>
        <v>0</v>
      </c>
    </row>
    <row r="75" spans="1:107" ht="12.75">
      <c r="A75">
        <f>ROW(Source!A80)</f>
        <v>80</v>
      </c>
      <c r="B75">
        <v>55468472</v>
      </c>
      <c r="C75">
        <v>55469220</v>
      </c>
      <c r="D75">
        <v>44812972</v>
      </c>
      <c r="E75">
        <v>1</v>
      </c>
      <c r="F75">
        <v>1</v>
      </c>
      <c r="G75">
        <v>1</v>
      </c>
      <c r="H75">
        <v>3</v>
      </c>
      <c r="I75" t="s">
        <v>343</v>
      </c>
      <c r="J75" t="s">
        <v>344</v>
      </c>
      <c r="K75" t="s">
        <v>345</v>
      </c>
      <c r="L75">
        <v>1348</v>
      </c>
      <c r="N75">
        <v>1009</v>
      </c>
      <c r="O75" t="s">
        <v>138</v>
      </c>
      <c r="P75" t="s">
        <v>138</v>
      </c>
      <c r="Q75">
        <v>1000</v>
      </c>
      <c r="W75">
        <v>0</v>
      </c>
      <c r="X75">
        <v>-894012302</v>
      </c>
      <c r="Y75">
        <v>0.0024</v>
      </c>
      <c r="AA75">
        <v>40650</v>
      </c>
      <c r="AB75">
        <v>0</v>
      </c>
      <c r="AC75">
        <v>0</v>
      </c>
      <c r="AD75">
        <v>0</v>
      </c>
      <c r="AE75">
        <v>40650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0.0024</v>
      </c>
      <c r="AV75">
        <v>0</v>
      </c>
      <c r="AW75">
        <v>2</v>
      </c>
      <c r="AX75">
        <v>55469263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Y75*Source!I80</f>
        <v>0.00010799999999999998</v>
      </c>
      <c r="CY75">
        <f t="shared" si="17"/>
        <v>40650</v>
      </c>
      <c r="CZ75">
        <f t="shared" si="18"/>
        <v>40650</v>
      </c>
      <c r="DA75">
        <f t="shared" si="19"/>
        <v>1</v>
      </c>
      <c r="DB75">
        <f t="shared" si="20"/>
        <v>97.56</v>
      </c>
      <c r="DC75">
        <f t="shared" si="21"/>
        <v>0</v>
      </c>
    </row>
    <row r="76" spans="1:107" ht="12.75">
      <c r="A76">
        <f>ROW(Source!A80)</f>
        <v>80</v>
      </c>
      <c r="B76">
        <v>55468472</v>
      </c>
      <c r="C76">
        <v>55469220</v>
      </c>
      <c r="D76">
        <v>44815052</v>
      </c>
      <c r="E76">
        <v>1</v>
      </c>
      <c r="F76">
        <v>1</v>
      </c>
      <c r="G76">
        <v>1</v>
      </c>
      <c r="H76">
        <v>3</v>
      </c>
      <c r="I76" t="s">
        <v>346</v>
      </c>
      <c r="J76" t="s">
        <v>347</v>
      </c>
      <c r="K76" t="s">
        <v>348</v>
      </c>
      <c r="L76">
        <v>1348</v>
      </c>
      <c r="N76">
        <v>1009</v>
      </c>
      <c r="O76" t="s">
        <v>138</v>
      </c>
      <c r="P76" t="s">
        <v>138</v>
      </c>
      <c r="Q76">
        <v>1000</v>
      </c>
      <c r="W76">
        <v>0</v>
      </c>
      <c r="X76">
        <v>505957124</v>
      </c>
      <c r="Y76">
        <v>0.012</v>
      </c>
      <c r="AA76">
        <v>10068</v>
      </c>
      <c r="AB76">
        <v>0</v>
      </c>
      <c r="AC76">
        <v>0</v>
      </c>
      <c r="AD76">
        <v>0</v>
      </c>
      <c r="AE76">
        <v>10068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0.012</v>
      </c>
      <c r="AV76">
        <v>0</v>
      </c>
      <c r="AW76">
        <v>2</v>
      </c>
      <c r="AX76">
        <v>55469264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Y76*Source!I80</f>
        <v>0.00054</v>
      </c>
      <c r="CY76">
        <f t="shared" si="17"/>
        <v>10068</v>
      </c>
      <c r="CZ76">
        <f t="shared" si="18"/>
        <v>10068</v>
      </c>
      <c r="DA76">
        <f t="shared" si="19"/>
        <v>1</v>
      </c>
      <c r="DB76">
        <f t="shared" si="20"/>
        <v>120.82</v>
      </c>
      <c r="DC76">
        <f t="shared" si="21"/>
        <v>0</v>
      </c>
    </row>
    <row r="77" spans="1:107" ht="12.75">
      <c r="A77">
        <f>ROW(Source!A80)</f>
        <v>80</v>
      </c>
      <c r="B77">
        <v>55468472</v>
      </c>
      <c r="C77">
        <v>55469220</v>
      </c>
      <c r="D77">
        <v>44815737</v>
      </c>
      <c r="E77">
        <v>1</v>
      </c>
      <c r="F77">
        <v>1</v>
      </c>
      <c r="G77">
        <v>1</v>
      </c>
      <c r="H77">
        <v>3</v>
      </c>
      <c r="I77" t="s">
        <v>349</v>
      </c>
      <c r="J77" t="s">
        <v>350</v>
      </c>
      <c r="K77" t="s">
        <v>351</v>
      </c>
      <c r="L77">
        <v>1371</v>
      </c>
      <c r="N77">
        <v>1013</v>
      </c>
      <c r="O77" t="s">
        <v>129</v>
      </c>
      <c r="P77" t="s">
        <v>129</v>
      </c>
      <c r="Q77">
        <v>1</v>
      </c>
      <c r="W77">
        <v>0</v>
      </c>
      <c r="X77">
        <v>-973918835</v>
      </c>
      <c r="Y77">
        <v>0.782</v>
      </c>
      <c r="AA77">
        <v>737</v>
      </c>
      <c r="AB77">
        <v>0</v>
      </c>
      <c r="AC77">
        <v>0</v>
      </c>
      <c r="AD77">
        <v>0</v>
      </c>
      <c r="AE77">
        <v>737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0.782</v>
      </c>
      <c r="AV77">
        <v>0</v>
      </c>
      <c r="AW77">
        <v>2</v>
      </c>
      <c r="AX77">
        <v>55469265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Y77*Source!I80</f>
        <v>0.03519</v>
      </c>
      <c r="CY77">
        <f t="shared" si="17"/>
        <v>737</v>
      </c>
      <c r="CZ77">
        <f t="shared" si="18"/>
        <v>737</v>
      </c>
      <c r="DA77">
        <f t="shared" si="19"/>
        <v>1</v>
      </c>
      <c r="DB77">
        <f t="shared" si="20"/>
        <v>576.33</v>
      </c>
      <c r="DC77">
        <f t="shared" si="21"/>
        <v>0</v>
      </c>
    </row>
    <row r="78" spans="1:107" ht="12.75">
      <c r="A78">
        <f>ROW(Source!A80)</f>
        <v>80</v>
      </c>
      <c r="B78">
        <v>55468472</v>
      </c>
      <c r="C78">
        <v>55469220</v>
      </c>
      <c r="D78">
        <v>44818493</v>
      </c>
      <c r="E78">
        <v>1</v>
      </c>
      <c r="F78">
        <v>1</v>
      </c>
      <c r="G78">
        <v>1</v>
      </c>
      <c r="H78">
        <v>3</v>
      </c>
      <c r="I78" t="s">
        <v>136</v>
      </c>
      <c r="J78" t="s">
        <v>139</v>
      </c>
      <c r="K78" t="s">
        <v>137</v>
      </c>
      <c r="L78">
        <v>1348</v>
      </c>
      <c r="N78">
        <v>1009</v>
      </c>
      <c r="O78" t="s">
        <v>138</v>
      </c>
      <c r="P78" t="s">
        <v>138</v>
      </c>
      <c r="Q78">
        <v>1000</v>
      </c>
      <c r="W78">
        <v>0</v>
      </c>
      <c r="X78">
        <v>783068224</v>
      </c>
      <c r="Y78">
        <v>100</v>
      </c>
      <c r="AA78">
        <v>480</v>
      </c>
      <c r="AB78">
        <v>0</v>
      </c>
      <c r="AC78">
        <v>0</v>
      </c>
      <c r="AD78">
        <v>0</v>
      </c>
      <c r="AE78">
        <v>480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T78">
        <v>100</v>
      </c>
      <c r="AV78">
        <v>0</v>
      </c>
      <c r="AW78">
        <v>1</v>
      </c>
      <c r="AX78">
        <v>-1</v>
      </c>
      <c r="AY78">
        <v>0</v>
      </c>
      <c r="AZ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Y78*Source!I80</f>
        <v>4.5</v>
      </c>
      <c r="CY78">
        <f t="shared" si="17"/>
        <v>480</v>
      </c>
      <c r="CZ78">
        <f t="shared" si="18"/>
        <v>480</v>
      </c>
      <c r="DA78">
        <f t="shared" si="19"/>
        <v>1</v>
      </c>
      <c r="DB78">
        <f t="shared" si="20"/>
        <v>48000</v>
      </c>
      <c r="DC78">
        <f t="shared" si="21"/>
        <v>0</v>
      </c>
    </row>
    <row r="79" spans="1:107" ht="12.75">
      <c r="A79">
        <f>ROW(Source!A80)</f>
        <v>80</v>
      </c>
      <c r="B79">
        <v>55468472</v>
      </c>
      <c r="C79">
        <v>55469220</v>
      </c>
      <c r="D79">
        <v>44832417</v>
      </c>
      <c r="E79">
        <v>1</v>
      </c>
      <c r="F79">
        <v>1</v>
      </c>
      <c r="G79">
        <v>1</v>
      </c>
      <c r="H79">
        <v>3</v>
      </c>
      <c r="I79" t="s">
        <v>352</v>
      </c>
      <c r="J79" t="s">
        <v>353</v>
      </c>
      <c r="K79" t="s">
        <v>354</v>
      </c>
      <c r="L79">
        <v>1348</v>
      </c>
      <c r="N79">
        <v>1009</v>
      </c>
      <c r="O79" t="s">
        <v>138</v>
      </c>
      <c r="P79" t="s">
        <v>138</v>
      </c>
      <c r="Q79">
        <v>1000</v>
      </c>
      <c r="W79">
        <v>0</v>
      </c>
      <c r="X79">
        <v>168138350</v>
      </c>
      <c r="Y79">
        <v>0.0008</v>
      </c>
      <c r="AA79">
        <v>5989</v>
      </c>
      <c r="AB79">
        <v>0</v>
      </c>
      <c r="AC79">
        <v>0</v>
      </c>
      <c r="AD79">
        <v>0</v>
      </c>
      <c r="AE79">
        <v>5989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0.0008</v>
      </c>
      <c r="AV79">
        <v>0</v>
      </c>
      <c r="AW79">
        <v>2</v>
      </c>
      <c r="AX79">
        <v>55469267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Y79*Source!I80</f>
        <v>3.6E-05</v>
      </c>
      <c r="CY79">
        <f t="shared" si="17"/>
        <v>5989</v>
      </c>
      <c r="CZ79">
        <f t="shared" si="18"/>
        <v>5989</v>
      </c>
      <c r="DA79">
        <f t="shared" si="19"/>
        <v>1</v>
      </c>
      <c r="DB79">
        <f t="shared" si="20"/>
        <v>4.79</v>
      </c>
      <c r="DC79">
        <f t="shared" si="21"/>
        <v>0</v>
      </c>
    </row>
    <row r="80" spans="1:107" ht="12.75">
      <c r="A80">
        <f>ROW(Source!A80)</f>
        <v>80</v>
      </c>
      <c r="B80">
        <v>55468472</v>
      </c>
      <c r="C80">
        <v>55469220</v>
      </c>
      <c r="D80">
        <v>44835312</v>
      </c>
      <c r="E80">
        <v>1</v>
      </c>
      <c r="F80">
        <v>1</v>
      </c>
      <c r="G80">
        <v>1</v>
      </c>
      <c r="H80">
        <v>3</v>
      </c>
      <c r="I80" t="s">
        <v>355</v>
      </c>
      <c r="J80" t="s">
        <v>356</v>
      </c>
      <c r="K80" t="s">
        <v>357</v>
      </c>
      <c r="L80">
        <v>1348</v>
      </c>
      <c r="N80">
        <v>1009</v>
      </c>
      <c r="O80" t="s">
        <v>138</v>
      </c>
      <c r="P80" t="s">
        <v>138</v>
      </c>
      <c r="Q80">
        <v>1000</v>
      </c>
      <c r="W80">
        <v>0</v>
      </c>
      <c r="X80">
        <v>207806520</v>
      </c>
      <c r="Y80">
        <v>0.0008</v>
      </c>
      <c r="AA80">
        <v>5520</v>
      </c>
      <c r="AB80">
        <v>0</v>
      </c>
      <c r="AC80">
        <v>0</v>
      </c>
      <c r="AD80">
        <v>0</v>
      </c>
      <c r="AE80">
        <v>5520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0.0008</v>
      </c>
      <c r="AV80">
        <v>0</v>
      </c>
      <c r="AW80">
        <v>2</v>
      </c>
      <c r="AX80">
        <v>55469268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Y80*Source!I80</f>
        <v>3.6E-05</v>
      </c>
      <c r="CY80">
        <f t="shared" si="17"/>
        <v>5520</v>
      </c>
      <c r="CZ80">
        <f t="shared" si="18"/>
        <v>5520</v>
      </c>
      <c r="DA80">
        <f t="shared" si="19"/>
        <v>1</v>
      </c>
      <c r="DB80">
        <f t="shared" si="20"/>
        <v>4.42</v>
      </c>
      <c r="DC80">
        <f t="shared" si="21"/>
        <v>0</v>
      </c>
    </row>
    <row r="81" spans="1:107" ht="12.75">
      <c r="A81">
        <f>ROW(Source!A81)</f>
        <v>81</v>
      </c>
      <c r="B81">
        <v>55468473</v>
      </c>
      <c r="C81">
        <v>55469220</v>
      </c>
      <c r="D81">
        <v>37822900</v>
      </c>
      <c r="E81">
        <v>54</v>
      </c>
      <c r="F81">
        <v>1</v>
      </c>
      <c r="G81">
        <v>1</v>
      </c>
      <c r="H81">
        <v>1</v>
      </c>
      <c r="I81" t="s">
        <v>302</v>
      </c>
      <c r="K81" t="s">
        <v>303</v>
      </c>
      <c r="L81">
        <v>1191</v>
      </c>
      <c r="N81">
        <v>1013</v>
      </c>
      <c r="O81" t="s">
        <v>245</v>
      </c>
      <c r="P81" t="s">
        <v>245</v>
      </c>
      <c r="Q81">
        <v>1</v>
      </c>
      <c r="W81">
        <v>0</v>
      </c>
      <c r="X81">
        <v>-784637506</v>
      </c>
      <c r="Y81">
        <v>23.988999999999997</v>
      </c>
      <c r="AA81">
        <v>0</v>
      </c>
      <c r="AB81">
        <v>0</v>
      </c>
      <c r="AC81">
        <v>0</v>
      </c>
      <c r="AD81">
        <v>322.24</v>
      </c>
      <c r="AE81">
        <v>0</v>
      </c>
      <c r="AF81">
        <v>0</v>
      </c>
      <c r="AG81">
        <v>0</v>
      </c>
      <c r="AH81">
        <v>8.74</v>
      </c>
      <c r="AI81">
        <v>1</v>
      </c>
      <c r="AJ81">
        <v>1</v>
      </c>
      <c r="AK81">
        <v>1</v>
      </c>
      <c r="AL81">
        <v>36.87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20.86</v>
      </c>
      <c r="AU81" t="s">
        <v>28</v>
      </c>
      <c r="AV81">
        <v>1</v>
      </c>
      <c r="AW81">
        <v>2</v>
      </c>
      <c r="AX81">
        <v>55469245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Y81*Source!I81</f>
        <v>1.079505</v>
      </c>
      <c r="CY81">
        <f>AD81</f>
        <v>322.24</v>
      </c>
      <c r="CZ81">
        <f>AH81</f>
        <v>8.74</v>
      </c>
      <c r="DA81">
        <f>AL81</f>
        <v>36.87</v>
      </c>
      <c r="DB81">
        <f>ROUND((ROUND(AT81*CZ81,2)*ROUND(1.15,7)),2)</f>
        <v>209.67</v>
      </c>
      <c r="DC81">
        <f>ROUND((ROUND(AT81*AG81,2)*ROUND(1.15,7)),2)</f>
        <v>0</v>
      </c>
    </row>
    <row r="82" spans="1:107" ht="12.75">
      <c r="A82">
        <f>ROW(Source!A81)</f>
        <v>81</v>
      </c>
      <c r="B82">
        <v>55468473</v>
      </c>
      <c r="C82">
        <v>55469220</v>
      </c>
      <c r="D82">
        <v>37822850</v>
      </c>
      <c r="E82">
        <v>54</v>
      </c>
      <c r="F82">
        <v>1</v>
      </c>
      <c r="G82">
        <v>1</v>
      </c>
      <c r="H82">
        <v>1</v>
      </c>
      <c r="I82" t="s">
        <v>246</v>
      </c>
      <c r="K82" t="s">
        <v>247</v>
      </c>
      <c r="L82">
        <v>1191</v>
      </c>
      <c r="N82">
        <v>1013</v>
      </c>
      <c r="O82" t="s">
        <v>245</v>
      </c>
      <c r="P82" t="s">
        <v>245</v>
      </c>
      <c r="Q82">
        <v>1</v>
      </c>
      <c r="W82">
        <v>0</v>
      </c>
      <c r="X82">
        <v>-1417349443</v>
      </c>
      <c r="Y82">
        <v>23.5625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36.87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18.85</v>
      </c>
      <c r="AU82" t="s">
        <v>27</v>
      </c>
      <c r="AV82">
        <v>2</v>
      </c>
      <c r="AW82">
        <v>2</v>
      </c>
      <c r="AX82">
        <v>55469246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Y82*Source!I81</f>
        <v>1.0603125</v>
      </c>
      <c r="CY82">
        <f>AD82</f>
        <v>0</v>
      </c>
      <c r="CZ82">
        <f>AH82</f>
        <v>0</v>
      </c>
      <c r="DA82">
        <f>AL82</f>
        <v>1</v>
      </c>
      <c r="DB82">
        <f aca="true" t="shared" si="22" ref="DB82:DB96">ROUND((ROUND(AT82*CZ82,2)*ROUND(1.25,7)),2)</f>
        <v>0</v>
      </c>
      <c r="DC82">
        <f aca="true" t="shared" si="23" ref="DC82:DC96">ROUND((ROUND(AT82*AG82,2)*ROUND(1.25,7)),2)</f>
        <v>0</v>
      </c>
    </row>
    <row r="83" spans="1:107" ht="12.75">
      <c r="A83">
        <f>ROW(Source!A81)</f>
        <v>81</v>
      </c>
      <c r="B83">
        <v>55468473</v>
      </c>
      <c r="C83">
        <v>55469220</v>
      </c>
      <c r="D83">
        <v>44976389</v>
      </c>
      <c r="E83">
        <v>1</v>
      </c>
      <c r="F83">
        <v>1</v>
      </c>
      <c r="G83">
        <v>1</v>
      </c>
      <c r="H83">
        <v>2</v>
      </c>
      <c r="I83" t="s">
        <v>304</v>
      </c>
      <c r="J83" t="s">
        <v>305</v>
      </c>
      <c r="K83" t="s">
        <v>306</v>
      </c>
      <c r="L83">
        <v>1368</v>
      </c>
      <c r="N83">
        <v>1011</v>
      </c>
      <c r="O83" t="s">
        <v>289</v>
      </c>
      <c r="P83" t="s">
        <v>289</v>
      </c>
      <c r="Q83">
        <v>1</v>
      </c>
      <c r="W83">
        <v>0</v>
      </c>
      <c r="X83">
        <v>-1354115096</v>
      </c>
      <c r="Y83">
        <v>3.05</v>
      </c>
      <c r="AA83">
        <v>0</v>
      </c>
      <c r="AB83">
        <v>7.59</v>
      </c>
      <c r="AC83">
        <v>0</v>
      </c>
      <c r="AD83">
        <v>0</v>
      </c>
      <c r="AE83">
        <v>0</v>
      </c>
      <c r="AF83">
        <v>0.58</v>
      </c>
      <c r="AG83">
        <v>0</v>
      </c>
      <c r="AH83">
        <v>0</v>
      </c>
      <c r="AI83">
        <v>1</v>
      </c>
      <c r="AJ83">
        <v>13.09</v>
      </c>
      <c r="AK83">
        <v>36.87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2.44</v>
      </c>
      <c r="AU83" t="s">
        <v>27</v>
      </c>
      <c r="AV83">
        <v>0</v>
      </c>
      <c r="AW83">
        <v>2</v>
      </c>
      <c r="AX83">
        <v>55469247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Y83*Source!I81</f>
        <v>0.13724999999999998</v>
      </c>
      <c r="CY83">
        <f aca="true" t="shared" si="24" ref="CY83:CY96">AB83</f>
        <v>7.59</v>
      </c>
      <c r="CZ83">
        <f aca="true" t="shared" si="25" ref="CZ83:CZ96">AF83</f>
        <v>0.58</v>
      </c>
      <c r="DA83">
        <f aca="true" t="shared" si="26" ref="DA83:DA96">AJ83</f>
        <v>13.09</v>
      </c>
      <c r="DB83">
        <f t="shared" si="22"/>
        <v>1.78</v>
      </c>
      <c r="DC83">
        <f t="shared" si="23"/>
        <v>0</v>
      </c>
    </row>
    <row r="84" spans="1:107" ht="12.75">
      <c r="A84">
        <f>ROW(Source!A81)</f>
        <v>81</v>
      </c>
      <c r="B84">
        <v>55468473</v>
      </c>
      <c r="C84">
        <v>55469220</v>
      </c>
      <c r="D84">
        <v>44976423</v>
      </c>
      <c r="E84">
        <v>1</v>
      </c>
      <c r="F84">
        <v>1</v>
      </c>
      <c r="G84">
        <v>1</v>
      </c>
      <c r="H84">
        <v>2</v>
      </c>
      <c r="I84" t="s">
        <v>39</v>
      </c>
      <c r="J84" t="s">
        <v>42</v>
      </c>
      <c r="K84" t="s">
        <v>40</v>
      </c>
      <c r="L84">
        <v>1368</v>
      </c>
      <c r="N84">
        <v>1011</v>
      </c>
      <c r="O84" t="s">
        <v>289</v>
      </c>
      <c r="P84" t="s">
        <v>289</v>
      </c>
      <c r="Q84">
        <v>1</v>
      </c>
      <c r="W84">
        <v>0</v>
      </c>
      <c r="X84">
        <v>-1238471744</v>
      </c>
      <c r="Y84">
        <v>0.6875</v>
      </c>
      <c r="AA84">
        <v>0</v>
      </c>
      <c r="AB84">
        <v>1177.97</v>
      </c>
      <c r="AC84">
        <v>370.91</v>
      </c>
      <c r="AD84">
        <v>0</v>
      </c>
      <c r="AE84">
        <v>0</v>
      </c>
      <c r="AF84">
        <v>89.99</v>
      </c>
      <c r="AG84">
        <v>10.06</v>
      </c>
      <c r="AH84">
        <v>0</v>
      </c>
      <c r="AI84">
        <v>1</v>
      </c>
      <c r="AJ84">
        <v>13.09</v>
      </c>
      <c r="AK84">
        <v>36.87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0.55</v>
      </c>
      <c r="AU84" t="s">
        <v>27</v>
      </c>
      <c r="AV84">
        <v>0</v>
      </c>
      <c r="AW84">
        <v>2</v>
      </c>
      <c r="AX84">
        <v>55469248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Y84*Source!I81</f>
        <v>0.0309375</v>
      </c>
      <c r="CY84">
        <f t="shared" si="24"/>
        <v>1177.97</v>
      </c>
      <c r="CZ84">
        <f t="shared" si="25"/>
        <v>89.99</v>
      </c>
      <c r="DA84">
        <f t="shared" si="26"/>
        <v>13.09</v>
      </c>
      <c r="DB84">
        <f t="shared" si="22"/>
        <v>61.86</v>
      </c>
      <c r="DC84">
        <f t="shared" si="23"/>
        <v>6.91</v>
      </c>
    </row>
    <row r="85" spans="1:107" ht="12.75">
      <c r="A85">
        <f>ROW(Source!A81)</f>
        <v>81</v>
      </c>
      <c r="B85">
        <v>55468473</v>
      </c>
      <c r="C85">
        <v>55469220</v>
      </c>
      <c r="D85">
        <v>44976638</v>
      </c>
      <c r="E85">
        <v>1</v>
      </c>
      <c r="F85">
        <v>1</v>
      </c>
      <c r="G85">
        <v>1</v>
      </c>
      <c r="H85">
        <v>2</v>
      </c>
      <c r="I85" t="s">
        <v>307</v>
      </c>
      <c r="J85" t="s">
        <v>308</v>
      </c>
      <c r="K85" t="s">
        <v>309</v>
      </c>
      <c r="L85">
        <v>1368</v>
      </c>
      <c r="N85">
        <v>1011</v>
      </c>
      <c r="O85" t="s">
        <v>289</v>
      </c>
      <c r="P85" t="s">
        <v>289</v>
      </c>
      <c r="Q85">
        <v>1</v>
      </c>
      <c r="W85">
        <v>0</v>
      </c>
      <c r="X85">
        <v>-2017054938</v>
      </c>
      <c r="Y85">
        <v>2.55</v>
      </c>
      <c r="AA85">
        <v>0</v>
      </c>
      <c r="AB85">
        <v>9094.8</v>
      </c>
      <c r="AC85">
        <v>606.14</v>
      </c>
      <c r="AD85">
        <v>0</v>
      </c>
      <c r="AE85">
        <v>0</v>
      </c>
      <c r="AF85">
        <v>694.79</v>
      </c>
      <c r="AG85">
        <v>16.44</v>
      </c>
      <c r="AH85">
        <v>0</v>
      </c>
      <c r="AI85">
        <v>1</v>
      </c>
      <c r="AJ85">
        <v>13.09</v>
      </c>
      <c r="AK85">
        <v>36.87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2.04</v>
      </c>
      <c r="AU85" t="s">
        <v>27</v>
      </c>
      <c r="AV85">
        <v>0</v>
      </c>
      <c r="AW85">
        <v>2</v>
      </c>
      <c r="AX85">
        <v>55469249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Y85*Source!I81</f>
        <v>0.11474999999999999</v>
      </c>
      <c r="CY85">
        <f t="shared" si="24"/>
        <v>9094.8</v>
      </c>
      <c r="CZ85">
        <f t="shared" si="25"/>
        <v>694.79</v>
      </c>
      <c r="DA85">
        <f t="shared" si="26"/>
        <v>13.09</v>
      </c>
      <c r="DB85">
        <f t="shared" si="22"/>
        <v>1771.71</v>
      </c>
      <c r="DC85">
        <f t="shared" si="23"/>
        <v>41.93</v>
      </c>
    </row>
    <row r="86" spans="1:107" ht="12.75">
      <c r="A86">
        <f>ROW(Source!A81)</f>
        <v>81</v>
      </c>
      <c r="B86">
        <v>55468473</v>
      </c>
      <c r="C86">
        <v>55469220</v>
      </c>
      <c r="D86">
        <v>44976678</v>
      </c>
      <c r="E86">
        <v>1</v>
      </c>
      <c r="F86">
        <v>1</v>
      </c>
      <c r="G86">
        <v>1</v>
      </c>
      <c r="H86">
        <v>2</v>
      </c>
      <c r="I86" t="s">
        <v>310</v>
      </c>
      <c r="J86" t="s">
        <v>311</v>
      </c>
      <c r="K86" t="s">
        <v>312</v>
      </c>
      <c r="L86">
        <v>1368</v>
      </c>
      <c r="N86">
        <v>1011</v>
      </c>
      <c r="O86" t="s">
        <v>289</v>
      </c>
      <c r="P86" t="s">
        <v>289</v>
      </c>
      <c r="Q86">
        <v>1</v>
      </c>
      <c r="W86">
        <v>0</v>
      </c>
      <c r="X86">
        <v>2072538428</v>
      </c>
      <c r="Y86">
        <v>2.6750000000000003</v>
      </c>
      <c r="AA86">
        <v>0</v>
      </c>
      <c r="AB86">
        <v>3236.37</v>
      </c>
      <c r="AC86">
        <v>427.69</v>
      </c>
      <c r="AD86">
        <v>0</v>
      </c>
      <c r="AE86">
        <v>0</v>
      </c>
      <c r="AF86">
        <v>247.24</v>
      </c>
      <c r="AG86">
        <v>11.6</v>
      </c>
      <c r="AH86">
        <v>0</v>
      </c>
      <c r="AI86">
        <v>1</v>
      </c>
      <c r="AJ86">
        <v>13.09</v>
      </c>
      <c r="AK86">
        <v>36.87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2.14</v>
      </c>
      <c r="AU86" t="s">
        <v>27</v>
      </c>
      <c r="AV86">
        <v>0</v>
      </c>
      <c r="AW86">
        <v>2</v>
      </c>
      <c r="AX86">
        <v>55469250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Y86*Source!I81</f>
        <v>0.12037500000000001</v>
      </c>
      <c r="CY86">
        <f t="shared" si="24"/>
        <v>3236.37</v>
      </c>
      <c r="CZ86">
        <f t="shared" si="25"/>
        <v>247.24</v>
      </c>
      <c r="DA86">
        <f t="shared" si="26"/>
        <v>13.09</v>
      </c>
      <c r="DB86">
        <f t="shared" si="22"/>
        <v>661.36</v>
      </c>
      <c r="DC86">
        <f t="shared" si="23"/>
        <v>31.03</v>
      </c>
    </row>
    <row r="87" spans="1:107" ht="12.75">
      <c r="A87">
        <f>ROW(Source!A81)</f>
        <v>81</v>
      </c>
      <c r="B87">
        <v>55468473</v>
      </c>
      <c r="C87">
        <v>55469220</v>
      </c>
      <c r="D87">
        <v>44976706</v>
      </c>
      <c r="E87">
        <v>1</v>
      </c>
      <c r="F87">
        <v>1</v>
      </c>
      <c r="G87">
        <v>1</v>
      </c>
      <c r="H87">
        <v>2</v>
      </c>
      <c r="I87" t="s">
        <v>313</v>
      </c>
      <c r="J87" t="s">
        <v>314</v>
      </c>
      <c r="K87" t="s">
        <v>315</v>
      </c>
      <c r="L87">
        <v>1368</v>
      </c>
      <c r="N87">
        <v>1011</v>
      </c>
      <c r="O87" t="s">
        <v>289</v>
      </c>
      <c r="P87" t="s">
        <v>289</v>
      </c>
      <c r="Q87">
        <v>1</v>
      </c>
      <c r="W87">
        <v>0</v>
      </c>
      <c r="X87">
        <v>756932948</v>
      </c>
      <c r="Y87">
        <v>1.8875</v>
      </c>
      <c r="AA87">
        <v>0</v>
      </c>
      <c r="AB87">
        <v>2840.27</v>
      </c>
      <c r="AC87">
        <v>427.69</v>
      </c>
      <c r="AD87">
        <v>0</v>
      </c>
      <c r="AE87">
        <v>0</v>
      </c>
      <c r="AF87">
        <v>216.98</v>
      </c>
      <c r="AG87">
        <v>11.6</v>
      </c>
      <c r="AH87">
        <v>0</v>
      </c>
      <c r="AI87">
        <v>1</v>
      </c>
      <c r="AJ87">
        <v>13.09</v>
      </c>
      <c r="AK87">
        <v>36.87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1.51</v>
      </c>
      <c r="AU87" t="s">
        <v>27</v>
      </c>
      <c r="AV87">
        <v>0</v>
      </c>
      <c r="AW87">
        <v>2</v>
      </c>
      <c r="AX87">
        <v>55469251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Y87*Source!I81</f>
        <v>0.0849375</v>
      </c>
      <c r="CY87">
        <f t="shared" si="24"/>
        <v>2840.27</v>
      </c>
      <c r="CZ87">
        <f t="shared" si="25"/>
        <v>216.98</v>
      </c>
      <c r="DA87">
        <f t="shared" si="26"/>
        <v>13.09</v>
      </c>
      <c r="DB87">
        <f t="shared" si="22"/>
        <v>409.55</v>
      </c>
      <c r="DC87">
        <f t="shared" si="23"/>
        <v>21.9</v>
      </c>
    </row>
    <row r="88" spans="1:107" ht="12.75">
      <c r="A88">
        <f>ROW(Source!A81)</f>
        <v>81</v>
      </c>
      <c r="B88">
        <v>55468473</v>
      </c>
      <c r="C88">
        <v>55469220</v>
      </c>
      <c r="D88">
        <v>44976708</v>
      </c>
      <c r="E88">
        <v>1</v>
      </c>
      <c r="F88">
        <v>1</v>
      </c>
      <c r="G88">
        <v>1</v>
      </c>
      <c r="H88">
        <v>2</v>
      </c>
      <c r="I88" t="s">
        <v>316</v>
      </c>
      <c r="J88" t="s">
        <v>317</v>
      </c>
      <c r="K88" t="s">
        <v>318</v>
      </c>
      <c r="L88">
        <v>1368</v>
      </c>
      <c r="N88">
        <v>1011</v>
      </c>
      <c r="O88" t="s">
        <v>289</v>
      </c>
      <c r="P88" t="s">
        <v>289</v>
      </c>
      <c r="Q88">
        <v>1</v>
      </c>
      <c r="W88">
        <v>0</v>
      </c>
      <c r="X88">
        <v>-777893020</v>
      </c>
      <c r="Y88">
        <v>3.2375</v>
      </c>
      <c r="AA88">
        <v>0</v>
      </c>
      <c r="AB88">
        <v>3099.58</v>
      </c>
      <c r="AC88">
        <v>497.75</v>
      </c>
      <c r="AD88">
        <v>0</v>
      </c>
      <c r="AE88">
        <v>0</v>
      </c>
      <c r="AF88">
        <v>236.79</v>
      </c>
      <c r="AG88">
        <v>13.5</v>
      </c>
      <c r="AH88">
        <v>0</v>
      </c>
      <c r="AI88">
        <v>1</v>
      </c>
      <c r="AJ88">
        <v>13.09</v>
      </c>
      <c r="AK88">
        <v>36.87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2.59</v>
      </c>
      <c r="AU88" t="s">
        <v>27</v>
      </c>
      <c r="AV88">
        <v>0</v>
      </c>
      <c r="AW88">
        <v>2</v>
      </c>
      <c r="AX88">
        <v>55469252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Y88*Source!I81</f>
        <v>0.1456875</v>
      </c>
      <c r="CY88">
        <f t="shared" si="24"/>
        <v>3099.58</v>
      </c>
      <c r="CZ88">
        <f t="shared" si="25"/>
        <v>236.79</v>
      </c>
      <c r="DA88">
        <f t="shared" si="26"/>
        <v>13.09</v>
      </c>
      <c r="DB88">
        <f t="shared" si="22"/>
        <v>766.61</v>
      </c>
      <c r="DC88">
        <f t="shared" si="23"/>
        <v>43.71</v>
      </c>
    </row>
    <row r="89" spans="1:107" ht="12.75">
      <c r="A89">
        <f>ROW(Source!A81)</f>
        <v>81</v>
      </c>
      <c r="B89">
        <v>55468473</v>
      </c>
      <c r="C89">
        <v>55469220</v>
      </c>
      <c r="D89">
        <v>44976710</v>
      </c>
      <c r="E89">
        <v>1</v>
      </c>
      <c r="F89">
        <v>1</v>
      </c>
      <c r="G89">
        <v>1</v>
      </c>
      <c r="H89">
        <v>2</v>
      </c>
      <c r="I89" t="s">
        <v>319</v>
      </c>
      <c r="J89" t="s">
        <v>320</v>
      </c>
      <c r="K89" t="s">
        <v>321</v>
      </c>
      <c r="L89">
        <v>1368</v>
      </c>
      <c r="N89">
        <v>1011</v>
      </c>
      <c r="O89" t="s">
        <v>289</v>
      </c>
      <c r="P89" t="s">
        <v>289</v>
      </c>
      <c r="Q89">
        <v>1</v>
      </c>
      <c r="W89">
        <v>0</v>
      </c>
      <c r="X89">
        <v>1305923758</v>
      </c>
      <c r="Y89">
        <v>1.2125</v>
      </c>
      <c r="AA89">
        <v>0</v>
      </c>
      <c r="AB89">
        <v>3904.88</v>
      </c>
      <c r="AC89">
        <v>497.75</v>
      </c>
      <c r="AD89">
        <v>0</v>
      </c>
      <c r="AE89">
        <v>0</v>
      </c>
      <c r="AF89">
        <v>298.31</v>
      </c>
      <c r="AG89">
        <v>13.5</v>
      </c>
      <c r="AH89">
        <v>0</v>
      </c>
      <c r="AI89">
        <v>1</v>
      </c>
      <c r="AJ89">
        <v>13.09</v>
      </c>
      <c r="AK89">
        <v>36.87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0.97</v>
      </c>
      <c r="AU89" t="s">
        <v>27</v>
      </c>
      <c r="AV89">
        <v>0</v>
      </c>
      <c r="AW89">
        <v>2</v>
      </c>
      <c r="AX89">
        <v>55469253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Y89*Source!I81</f>
        <v>0.05456249999999999</v>
      </c>
      <c r="CY89">
        <f t="shared" si="24"/>
        <v>3904.88</v>
      </c>
      <c r="CZ89">
        <f t="shared" si="25"/>
        <v>298.31</v>
      </c>
      <c r="DA89">
        <f t="shared" si="26"/>
        <v>13.09</v>
      </c>
      <c r="DB89">
        <f t="shared" si="22"/>
        <v>361.7</v>
      </c>
      <c r="DC89">
        <f t="shared" si="23"/>
        <v>16.38</v>
      </c>
    </row>
    <row r="90" spans="1:107" ht="12.75">
      <c r="A90">
        <f>ROW(Source!A81)</f>
        <v>81</v>
      </c>
      <c r="B90">
        <v>55468473</v>
      </c>
      <c r="C90">
        <v>55469220</v>
      </c>
      <c r="D90">
        <v>44976759</v>
      </c>
      <c r="E90">
        <v>1</v>
      </c>
      <c r="F90">
        <v>1</v>
      </c>
      <c r="G90">
        <v>1</v>
      </c>
      <c r="H90">
        <v>2</v>
      </c>
      <c r="I90" t="s">
        <v>322</v>
      </c>
      <c r="J90" t="s">
        <v>323</v>
      </c>
      <c r="K90" t="s">
        <v>324</v>
      </c>
      <c r="L90">
        <v>1368</v>
      </c>
      <c r="N90">
        <v>1011</v>
      </c>
      <c r="O90" t="s">
        <v>289</v>
      </c>
      <c r="P90" t="s">
        <v>289</v>
      </c>
      <c r="Q90">
        <v>1</v>
      </c>
      <c r="W90">
        <v>0</v>
      </c>
      <c r="X90">
        <v>1410261369</v>
      </c>
      <c r="Y90">
        <v>1.9</v>
      </c>
      <c r="AA90">
        <v>0</v>
      </c>
      <c r="AB90">
        <v>249.23</v>
      </c>
      <c r="AC90">
        <v>0</v>
      </c>
      <c r="AD90">
        <v>0</v>
      </c>
      <c r="AE90">
        <v>0</v>
      </c>
      <c r="AF90">
        <v>19.04</v>
      </c>
      <c r="AG90">
        <v>0</v>
      </c>
      <c r="AH90">
        <v>0</v>
      </c>
      <c r="AI90">
        <v>1</v>
      </c>
      <c r="AJ90">
        <v>13.09</v>
      </c>
      <c r="AK90">
        <v>36.87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1.52</v>
      </c>
      <c r="AU90" t="s">
        <v>27</v>
      </c>
      <c r="AV90">
        <v>0</v>
      </c>
      <c r="AW90">
        <v>2</v>
      </c>
      <c r="AX90">
        <v>55469254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Y90*Source!I81</f>
        <v>0.08549999999999999</v>
      </c>
      <c r="CY90">
        <f t="shared" si="24"/>
        <v>249.23</v>
      </c>
      <c r="CZ90">
        <f t="shared" si="25"/>
        <v>19.04</v>
      </c>
      <c r="DA90">
        <f t="shared" si="26"/>
        <v>13.09</v>
      </c>
      <c r="DB90">
        <f t="shared" si="22"/>
        <v>36.18</v>
      </c>
      <c r="DC90">
        <f t="shared" si="23"/>
        <v>0</v>
      </c>
    </row>
    <row r="91" spans="1:107" ht="12.75">
      <c r="A91">
        <f>ROW(Source!A81)</f>
        <v>81</v>
      </c>
      <c r="B91">
        <v>55468473</v>
      </c>
      <c r="C91">
        <v>55469220</v>
      </c>
      <c r="D91">
        <v>44976813</v>
      </c>
      <c r="E91">
        <v>1</v>
      </c>
      <c r="F91">
        <v>1</v>
      </c>
      <c r="G91">
        <v>1</v>
      </c>
      <c r="H91">
        <v>2</v>
      </c>
      <c r="I91" t="s">
        <v>325</v>
      </c>
      <c r="J91" t="s">
        <v>326</v>
      </c>
      <c r="K91" t="s">
        <v>327</v>
      </c>
      <c r="L91">
        <v>1368</v>
      </c>
      <c r="N91">
        <v>1011</v>
      </c>
      <c r="O91" t="s">
        <v>289</v>
      </c>
      <c r="P91" t="s">
        <v>289</v>
      </c>
      <c r="Q91">
        <v>1</v>
      </c>
      <c r="W91">
        <v>0</v>
      </c>
      <c r="X91">
        <v>2072184356</v>
      </c>
      <c r="Y91">
        <v>2.55</v>
      </c>
      <c r="AA91">
        <v>0</v>
      </c>
      <c r="AB91">
        <v>19684.09</v>
      </c>
      <c r="AC91">
        <v>530.93</v>
      </c>
      <c r="AD91">
        <v>0</v>
      </c>
      <c r="AE91">
        <v>0</v>
      </c>
      <c r="AF91">
        <v>1503.75</v>
      </c>
      <c r="AG91">
        <v>14.4</v>
      </c>
      <c r="AH91">
        <v>0</v>
      </c>
      <c r="AI91">
        <v>1</v>
      </c>
      <c r="AJ91">
        <v>13.09</v>
      </c>
      <c r="AK91">
        <v>36.87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2.04</v>
      </c>
      <c r="AU91" t="s">
        <v>27</v>
      </c>
      <c r="AV91">
        <v>0</v>
      </c>
      <c r="AW91">
        <v>2</v>
      </c>
      <c r="AX91">
        <v>55469255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Y91*Source!I81</f>
        <v>0.11474999999999999</v>
      </c>
      <c r="CY91">
        <f t="shared" si="24"/>
        <v>19684.09</v>
      </c>
      <c r="CZ91">
        <f t="shared" si="25"/>
        <v>1503.75</v>
      </c>
      <c r="DA91">
        <f t="shared" si="26"/>
        <v>13.09</v>
      </c>
      <c r="DB91">
        <f t="shared" si="22"/>
        <v>3834.56</v>
      </c>
      <c r="DC91">
        <f t="shared" si="23"/>
        <v>36.73</v>
      </c>
    </row>
    <row r="92" spans="1:107" ht="12.75">
      <c r="A92">
        <f>ROW(Source!A81)</f>
        <v>81</v>
      </c>
      <c r="B92">
        <v>55468473</v>
      </c>
      <c r="C92">
        <v>55469220</v>
      </c>
      <c r="D92">
        <v>44976814</v>
      </c>
      <c r="E92">
        <v>1</v>
      </c>
      <c r="F92">
        <v>1</v>
      </c>
      <c r="G92">
        <v>1</v>
      </c>
      <c r="H92">
        <v>2</v>
      </c>
      <c r="I92" t="s">
        <v>328</v>
      </c>
      <c r="J92" t="s">
        <v>329</v>
      </c>
      <c r="K92" t="s">
        <v>330</v>
      </c>
      <c r="L92">
        <v>1368</v>
      </c>
      <c r="N92">
        <v>1011</v>
      </c>
      <c r="O92" t="s">
        <v>289</v>
      </c>
      <c r="P92" t="s">
        <v>289</v>
      </c>
      <c r="Q92">
        <v>1</v>
      </c>
      <c r="W92">
        <v>0</v>
      </c>
      <c r="X92">
        <v>-683120804</v>
      </c>
      <c r="Y92">
        <v>2.55</v>
      </c>
      <c r="AA92">
        <v>0</v>
      </c>
      <c r="AB92">
        <v>253.95</v>
      </c>
      <c r="AC92">
        <v>0</v>
      </c>
      <c r="AD92">
        <v>0</v>
      </c>
      <c r="AE92">
        <v>0</v>
      </c>
      <c r="AF92">
        <v>19.4</v>
      </c>
      <c r="AG92">
        <v>0</v>
      </c>
      <c r="AH92">
        <v>0</v>
      </c>
      <c r="AI92">
        <v>1</v>
      </c>
      <c r="AJ92">
        <v>13.09</v>
      </c>
      <c r="AK92">
        <v>36.87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2.04</v>
      </c>
      <c r="AU92" t="s">
        <v>27</v>
      </c>
      <c r="AV92">
        <v>0</v>
      </c>
      <c r="AW92">
        <v>2</v>
      </c>
      <c r="AX92">
        <v>55469256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Y92*Source!I81</f>
        <v>0.11474999999999999</v>
      </c>
      <c r="CY92">
        <f t="shared" si="24"/>
        <v>253.95</v>
      </c>
      <c r="CZ92">
        <f t="shared" si="25"/>
        <v>19.4</v>
      </c>
      <c r="DA92">
        <f t="shared" si="26"/>
        <v>13.09</v>
      </c>
      <c r="DB92">
        <f t="shared" si="22"/>
        <v>49.48</v>
      </c>
      <c r="DC92">
        <f t="shared" si="23"/>
        <v>0</v>
      </c>
    </row>
    <row r="93" spans="1:107" ht="12.75">
      <c r="A93">
        <f>ROW(Source!A81)</f>
        <v>81</v>
      </c>
      <c r="B93">
        <v>55468473</v>
      </c>
      <c r="C93">
        <v>55469220</v>
      </c>
      <c r="D93">
        <v>44977227</v>
      </c>
      <c r="E93">
        <v>1</v>
      </c>
      <c r="F93">
        <v>1</v>
      </c>
      <c r="G93">
        <v>1</v>
      </c>
      <c r="H93">
        <v>2</v>
      </c>
      <c r="I93" t="s">
        <v>254</v>
      </c>
      <c r="J93" t="s">
        <v>255</v>
      </c>
      <c r="K93" t="s">
        <v>256</v>
      </c>
      <c r="L93">
        <v>1368</v>
      </c>
      <c r="N93">
        <v>1011</v>
      </c>
      <c r="O93" t="s">
        <v>289</v>
      </c>
      <c r="P93" t="s">
        <v>289</v>
      </c>
      <c r="Q93">
        <v>1</v>
      </c>
      <c r="W93">
        <v>0</v>
      </c>
      <c r="X93">
        <v>-101166653</v>
      </c>
      <c r="Y93">
        <v>3.875</v>
      </c>
      <c r="AA93">
        <v>0</v>
      </c>
      <c r="AB93">
        <v>1439.9</v>
      </c>
      <c r="AC93">
        <v>427.69</v>
      </c>
      <c r="AD93">
        <v>0</v>
      </c>
      <c r="AE93">
        <v>0</v>
      </c>
      <c r="AF93">
        <v>110</v>
      </c>
      <c r="AG93">
        <v>11.6</v>
      </c>
      <c r="AH93">
        <v>0</v>
      </c>
      <c r="AI93">
        <v>1</v>
      </c>
      <c r="AJ93">
        <v>13.09</v>
      </c>
      <c r="AK93">
        <v>36.87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3.1</v>
      </c>
      <c r="AU93" t="s">
        <v>27</v>
      </c>
      <c r="AV93">
        <v>0</v>
      </c>
      <c r="AW93">
        <v>2</v>
      </c>
      <c r="AX93">
        <v>55469257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Y93*Source!I81</f>
        <v>0.174375</v>
      </c>
      <c r="CY93">
        <f t="shared" si="24"/>
        <v>1439.9</v>
      </c>
      <c r="CZ93">
        <f t="shared" si="25"/>
        <v>110</v>
      </c>
      <c r="DA93">
        <f t="shared" si="26"/>
        <v>13.09</v>
      </c>
      <c r="DB93">
        <f t="shared" si="22"/>
        <v>426.25</v>
      </c>
      <c r="DC93">
        <f t="shared" si="23"/>
        <v>44.95</v>
      </c>
    </row>
    <row r="94" spans="1:107" ht="12.75">
      <c r="A94">
        <f>ROW(Source!A81)</f>
        <v>81</v>
      </c>
      <c r="B94">
        <v>55468473</v>
      </c>
      <c r="C94">
        <v>55469220</v>
      </c>
      <c r="D94">
        <v>44977264</v>
      </c>
      <c r="E94">
        <v>1</v>
      </c>
      <c r="F94">
        <v>1</v>
      </c>
      <c r="G94">
        <v>1</v>
      </c>
      <c r="H94">
        <v>2</v>
      </c>
      <c r="I94" t="s">
        <v>331</v>
      </c>
      <c r="J94" t="s">
        <v>332</v>
      </c>
      <c r="K94" t="s">
        <v>333</v>
      </c>
      <c r="L94">
        <v>1368</v>
      </c>
      <c r="N94">
        <v>1011</v>
      </c>
      <c r="O94" t="s">
        <v>289</v>
      </c>
      <c r="P94" t="s">
        <v>289</v>
      </c>
      <c r="Q94">
        <v>1</v>
      </c>
      <c r="W94">
        <v>0</v>
      </c>
      <c r="X94">
        <v>1674069948</v>
      </c>
      <c r="Y94">
        <v>0.25</v>
      </c>
      <c r="AA94">
        <v>0</v>
      </c>
      <c r="AB94">
        <v>1215.54</v>
      </c>
      <c r="AC94">
        <v>427.69</v>
      </c>
      <c r="AD94">
        <v>0</v>
      </c>
      <c r="AE94">
        <v>0</v>
      </c>
      <c r="AF94">
        <v>92.86</v>
      </c>
      <c r="AG94">
        <v>11.6</v>
      </c>
      <c r="AH94">
        <v>0</v>
      </c>
      <c r="AI94">
        <v>1</v>
      </c>
      <c r="AJ94">
        <v>13.09</v>
      </c>
      <c r="AK94">
        <v>36.87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0.2</v>
      </c>
      <c r="AU94" t="s">
        <v>27</v>
      </c>
      <c r="AV94">
        <v>0</v>
      </c>
      <c r="AW94">
        <v>2</v>
      </c>
      <c r="AX94">
        <v>55469258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Y94*Source!I81</f>
        <v>0.01125</v>
      </c>
      <c r="CY94">
        <f t="shared" si="24"/>
        <v>1215.54</v>
      </c>
      <c r="CZ94">
        <f t="shared" si="25"/>
        <v>92.86</v>
      </c>
      <c r="DA94">
        <f t="shared" si="26"/>
        <v>13.09</v>
      </c>
      <c r="DB94">
        <f t="shared" si="22"/>
        <v>23.21</v>
      </c>
      <c r="DC94">
        <f t="shared" si="23"/>
        <v>2.9</v>
      </c>
    </row>
    <row r="95" spans="1:107" ht="12.75">
      <c r="A95">
        <f>ROW(Source!A81)</f>
        <v>81</v>
      </c>
      <c r="B95">
        <v>55468473</v>
      </c>
      <c r="C95">
        <v>55469220</v>
      </c>
      <c r="D95">
        <v>44977523</v>
      </c>
      <c r="E95">
        <v>1</v>
      </c>
      <c r="F95">
        <v>1</v>
      </c>
      <c r="G95">
        <v>1</v>
      </c>
      <c r="H95">
        <v>2</v>
      </c>
      <c r="I95" t="s">
        <v>334</v>
      </c>
      <c r="J95" t="s">
        <v>335</v>
      </c>
      <c r="K95" t="s">
        <v>336</v>
      </c>
      <c r="L95">
        <v>1368</v>
      </c>
      <c r="N95">
        <v>1011</v>
      </c>
      <c r="O95" t="s">
        <v>289</v>
      </c>
      <c r="P95" t="s">
        <v>289</v>
      </c>
      <c r="Q95">
        <v>1</v>
      </c>
      <c r="W95">
        <v>0</v>
      </c>
      <c r="X95">
        <v>-1427538762</v>
      </c>
      <c r="Y95">
        <v>4.6375</v>
      </c>
      <c r="AA95">
        <v>0</v>
      </c>
      <c r="AB95">
        <v>2659.89</v>
      </c>
      <c r="AC95">
        <v>370.91</v>
      </c>
      <c r="AD95">
        <v>0</v>
      </c>
      <c r="AE95">
        <v>0</v>
      </c>
      <c r="AF95">
        <v>203.2</v>
      </c>
      <c r="AG95">
        <v>10.06</v>
      </c>
      <c r="AH95">
        <v>0</v>
      </c>
      <c r="AI95">
        <v>1</v>
      </c>
      <c r="AJ95">
        <v>13.09</v>
      </c>
      <c r="AK95">
        <v>36.87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3.71</v>
      </c>
      <c r="AU95" t="s">
        <v>27</v>
      </c>
      <c r="AV95">
        <v>0</v>
      </c>
      <c r="AW95">
        <v>2</v>
      </c>
      <c r="AX95">
        <v>55469259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Y95*Source!I81</f>
        <v>0.2086875</v>
      </c>
      <c r="CY95">
        <f t="shared" si="24"/>
        <v>2659.89</v>
      </c>
      <c r="CZ95">
        <f t="shared" si="25"/>
        <v>203.2</v>
      </c>
      <c r="DA95">
        <f t="shared" si="26"/>
        <v>13.09</v>
      </c>
      <c r="DB95">
        <f t="shared" si="22"/>
        <v>942.34</v>
      </c>
      <c r="DC95">
        <f t="shared" si="23"/>
        <v>46.65</v>
      </c>
    </row>
    <row r="96" spans="1:107" ht="12.75">
      <c r="A96">
        <f>ROW(Source!A81)</f>
        <v>81</v>
      </c>
      <c r="B96">
        <v>55468473</v>
      </c>
      <c r="C96">
        <v>55469220</v>
      </c>
      <c r="D96">
        <v>44978015</v>
      </c>
      <c r="E96">
        <v>1</v>
      </c>
      <c r="F96">
        <v>1</v>
      </c>
      <c r="G96">
        <v>1</v>
      </c>
      <c r="H96">
        <v>2</v>
      </c>
      <c r="I96" t="s">
        <v>279</v>
      </c>
      <c r="J96" t="s">
        <v>280</v>
      </c>
      <c r="K96" t="s">
        <v>281</v>
      </c>
      <c r="L96">
        <v>1368</v>
      </c>
      <c r="N96">
        <v>1011</v>
      </c>
      <c r="O96" t="s">
        <v>289</v>
      </c>
      <c r="P96" t="s">
        <v>289</v>
      </c>
      <c r="Q96">
        <v>1</v>
      </c>
      <c r="W96">
        <v>0</v>
      </c>
      <c r="X96">
        <v>195167108</v>
      </c>
      <c r="Y96">
        <v>1.4375</v>
      </c>
      <c r="AA96">
        <v>0</v>
      </c>
      <c r="AB96">
        <v>20.03</v>
      </c>
      <c r="AC96">
        <v>0</v>
      </c>
      <c r="AD96">
        <v>0</v>
      </c>
      <c r="AE96">
        <v>0</v>
      </c>
      <c r="AF96">
        <v>1.53</v>
      </c>
      <c r="AG96">
        <v>0</v>
      </c>
      <c r="AH96">
        <v>0</v>
      </c>
      <c r="AI96">
        <v>1</v>
      </c>
      <c r="AJ96">
        <v>13.09</v>
      </c>
      <c r="AK96">
        <v>36.87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1.15</v>
      </c>
      <c r="AU96" t="s">
        <v>27</v>
      </c>
      <c r="AV96">
        <v>0</v>
      </c>
      <c r="AW96">
        <v>2</v>
      </c>
      <c r="AX96">
        <v>55469260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Y96*Source!I81</f>
        <v>0.0646875</v>
      </c>
      <c r="CY96">
        <f t="shared" si="24"/>
        <v>20.03</v>
      </c>
      <c r="CZ96">
        <f t="shared" si="25"/>
        <v>1.53</v>
      </c>
      <c r="DA96">
        <f t="shared" si="26"/>
        <v>13.09</v>
      </c>
      <c r="DB96">
        <f t="shared" si="22"/>
        <v>2.2</v>
      </c>
      <c r="DC96">
        <f t="shared" si="23"/>
        <v>0</v>
      </c>
    </row>
    <row r="97" spans="1:107" ht="12.75">
      <c r="A97">
        <f>ROW(Source!A81)</f>
        <v>81</v>
      </c>
      <c r="B97">
        <v>55468473</v>
      </c>
      <c r="C97">
        <v>55469220</v>
      </c>
      <c r="D97">
        <v>44810508</v>
      </c>
      <c r="E97">
        <v>1</v>
      </c>
      <c r="F97">
        <v>1</v>
      </c>
      <c r="G97">
        <v>1</v>
      </c>
      <c r="H97">
        <v>3</v>
      </c>
      <c r="I97" t="s">
        <v>337</v>
      </c>
      <c r="J97" t="s">
        <v>338</v>
      </c>
      <c r="K97" t="s">
        <v>339</v>
      </c>
      <c r="L97">
        <v>1348</v>
      </c>
      <c r="N97">
        <v>1009</v>
      </c>
      <c r="O97" t="s">
        <v>138</v>
      </c>
      <c r="P97" t="s">
        <v>138</v>
      </c>
      <c r="Q97">
        <v>1000</v>
      </c>
      <c r="W97">
        <v>0</v>
      </c>
      <c r="X97">
        <v>-174182251</v>
      </c>
      <c r="Y97">
        <v>0.004</v>
      </c>
      <c r="AA97">
        <v>10335.43</v>
      </c>
      <c r="AB97">
        <v>0</v>
      </c>
      <c r="AC97">
        <v>0</v>
      </c>
      <c r="AD97">
        <v>0</v>
      </c>
      <c r="AE97">
        <v>1554.2</v>
      </c>
      <c r="AF97">
        <v>0</v>
      </c>
      <c r="AG97">
        <v>0</v>
      </c>
      <c r="AH97">
        <v>0</v>
      </c>
      <c r="AI97">
        <v>6.65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0.004</v>
      </c>
      <c r="AV97">
        <v>0</v>
      </c>
      <c r="AW97">
        <v>2</v>
      </c>
      <c r="AX97">
        <v>55469261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Y97*Source!I81</f>
        <v>0.00017999999999999998</v>
      </c>
      <c r="CY97">
        <f aca="true" t="shared" si="27" ref="CY97:CY104">AA97</f>
        <v>10335.43</v>
      </c>
      <c r="CZ97">
        <f aca="true" t="shared" si="28" ref="CZ97:CZ104">AE97</f>
        <v>1554.2</v>
      </c>
      <c r="DA97">
        <f aca="true" t="shared" si="29" ref="DA97:DA104">AI97</f>
        <v>6.65</v>
      </c>
      <c r="DB97">
        <f aca="true" t="shared" si="30" ref="DB97:DB104">ROUND(ROUND(AT97*CZ97,2),2)</f>
        <v>6.22</v>
      </c>
      <c r="DC97">
        <f aca="true" t="shared" si="31" ref="DC97:DC104">ROUND(ROUND(AT97*AG97,2),2)</f>
        <v>0</v>
      </c>
    </row>
    <row r="98" spans="1:107" ht="12.75">
      <c r="A98">
        <f>ROW(Source!A81)</f>
        <v>81</v>
      </c>
      <c r="B98">
        <v>55468473</v>
      </c>
      <c r="C98">
        <v>55469220</v>
      </c>
      <c r="D98">
        <v>44812338</v>
      </c>
      <c r="E98">
        <v>1</v>
      </c>
      <c r="F98">
        <v>1</v>
      </c>
      <c r="G98">
        <v>1</v>
      </c>
      <c r="H98">
        <v>3</v>
      </c>
      <c r="I98" t="s">
        <v>340</v>
      </c>
      <c r="J98" t="s">
        <v>341</v>
      </c>
      <c r="K98" t="s">
        <v>342</v>
      </c>
      <c r="L98">
        <v>1339</v>
      </c>
      <c r="N98">
        <v>1007</v>
      </c>
      <c r="O98" t="s">
        <v>269</v>
      </c>
      <c r="P98" t="s">
        <v>269</v>
      </c>
      <c r="Q98">
        <v>1</v>
      </c>
      <c r="W98">
        <v>0</v>
      </c>
      <c r="X98">
        <v>-771516631</v>
      </c>
      <c r="Y98">
        <v>20.52</v>
      </c>
      <c r="AA98">
        <v>20.95</v>
      </c>
      <c r="AB98">
        <v>0</v>
      </c>
      <c r="AC98">
        <v>0</v>
      </c>
      <c r="AD98">
        <v>0</v>
      </c>
      <c r="AE98">
        <v>3.15</v>
      </c>
      <c r="AF98">
        <v>0</v>
      </c>
      <c r="AG98">
        <v>0</v>
      </c>
      <c r="AH98">
        <v>0</v>
      </c>
      <c r="AI98">
        <v>6.65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20.52</v>
      </c>
      <c r="AV98">
        <v>0</v>
      </c>
      <c r="AW98">
        <v>2</v>
      </c>
      <c r="AX98">
        <v>55469262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Y98*Source!I81</f>
        <v>0.9234</v>
      </c>
      <c r="CY98">
        <f t="shared" si="27"/>
        <v>20.95</v>
      </c>
      <c r="CZ98">
        <f t="shared" si="28"/>
        <v>3.15</v>
      </c>
      <c r="DA98">
        <f t="shared" si="29"/>
        <v>6.65</v>
      </c>
      <c r="DB98">
        <f t="shared" si="30"/>
        <v>64.64</v>
      </c>
      <c r="DC98">
        <f t="shared" si="31"/>
        <v>0</v>
      </c>
    </row>
    <row r="99" spans="1:107" ht="12.75">
      <c r="A99">
        <f>ROW(Source!A81)</f>
        <v>81</v>
      </c>
      <c r="B99">
        <v>55468473</v>
      </c>
      <c r="C99">
        <v>55469220</v>
      </c>
      <c r="D99">
        <v>44812972</v>
      </c>
      <c r="E99">
        <v>1</v>
      </c>
      <c r="F99">
        <v>1</v>
      </c>
      <c r="G99">
        <v>1</v>
      </c>
      <c r="H99">
        <v>3</v>
      </c>
      <c r="I99" t="s">
        <v>343</v>
      </c>
      <c r="J99" t="s">
        <v>344</v>
      </c>
      <c r="K99" t="s">
        <v>345</v>
      </c>
      <c r="L99">
        <v>1348</v>
      </c>
      <c r="N99">
        <v>1009</v>
      </c>
      <c r="O99" t="s">
        <v>138</v>
      </c>
      <c r="P99" t="s">
        <v>138</v>
      </c>
      <c r="Q99">
        <v>1000</v>
      </c>
      <c r="W99">
        <v>0</v>
      </c>
      <c r="X99">
        <v>-894012302</v>
      </c>
      <c r="Y99">
        <v>0.0024</v>
      </c>
      <c r="AA99">
        <v>270322.5</v>
      </c>
      <c r="AB99">
        <v>0</v>
      </c>
      <c r="AC99">
        <v>0</v>
      </c>
      <c r="AD99">
        <v>0</v>
      </c>
      <c r="AE99">
        <v>40650</v>
      </c>
      <c r="AF99">
        <v>0</v>
      </c>
      <c r="AG99">
        <v>0</v>
      </c>
      <c r="AH99">
        <v>0</v>
      </c>
      <c r="AI99">
        <v>6.65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0.0024</v>
      </c>
      <c r="AV99">
        <v>0</v>
      </c>
      <c r="AW99">
        <v>2</v>
      </c>
      <c r="AX99">
        <v>55469263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Y99*Source!I81</f>
        <v>0.00010799999999999998</v>
      </c>
      <c r="CY99">
        <f t="shared" si="27"/>
        <v>270322.5</v>
      </c>
      <c r="CZ99">
        <f t="shared" si="28"/>
        <v>40650</v>
      </c>
      <c r="DA99">
        <f t="shared" si="29"/>
        <v>6.65</v>
      </c>
      <c r="DB99">
        <f t="shared" si="30"/>
        <v>97.56</v>
      </c>
      <c r="DC99">
        <f t="shared" si="31"/>
        <v>0</v>
      </c>
    </row>
    <row r="100" spans="1:107" ht="12.75">
      <c r="A100">
        <f>ROW(Source!A81)</f>
        <v>81</v>
      </c>
      <c r="B100">
        <v>55468473</v>
      </c>
      <c r="C100">
        <v>55469220</v>
      </c>
      <c r="D100">
        <v>44815052</v>
      </c>
      <c r="E100">
        <v>1</v>
      </c>
      <c r="F100">
        <v>1</v>
      </c>
      <c r="G100">
        <v>1</v>
      </c>
      <c r="H100">
        <v>3</v>
      </c>
      <c r="I100" t="s">
        <v>346</v>
      </c>
      <c r="J100" t="s">
        <v>347</v>
      </c>
      <c r="K100" t="s">
        <v>348</v>
      </c>
      <c r="L100">
        <v>1348</v>
      </c>
      <c r="N100">
        <v>1009</v>
      </c>
      <c r="O100" t="s">
        <v>138</v>
      </c>
      <c r="P100" t="s">
        <v>138</v>
      </c>
      <c r="Q100">
        <v>1000</v>
      </c>
      <c r="W100">
        <v>0</v>
      </c>
      <c r="X100">
        <v>505957124</v>
      </c>
      <c r="Y100">
        <v>0.012</v>
      </c>
      <c r="AA100">
        <v>66952.2</v>
      </c>
      <c r="AB100">
        <v>0</v>
      </c>
      <c r="AC100">
        <v>0</v>
      </c>
      <c r="AD100">
        <v>0</v>
      </c>
      <c r="AE100">
        <v>10068</v>
      </c>
      <c r="AF100">
        <v>0</v>
      </c>
      <c r="AG100">
        <v>0</v>
      </c>
      <c r="AH100">
        <v>0</v>
      </c>
      <c r="AI100">
        <v>6.65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0.012</v>
      </c>
      <c r="AV100">
        <v>0</v>
      </c>
      <c r="AW100">
        <v>2</v>
      </c>
      <c r="AX100">
        <v>55469264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Y100*Source!I81</f>
        <v>0.00054</v>
      </c>
      <c r="CY100">
        <f t="shared" si="27"/>
        <v>66952.2</v>
      </c>
      <c r="CZ100">
        <f t="shared" si="28"/>
        <v>10068</v>
      </c>
      <c r="DA100">
        <f t="shared" si="29"/>
        <v>6.65</v>
      </c>
      <c r="DB100">
        <f t="shared" si="30"/>
        <v>120.82</v>
      </c>
      <c r="DC100">
        <f t="shared" si="31"/>
        <v>0</v>
      </c>
    </row>
    <row r="101" spans="1:107" ht="12.75">
      <c r="A101">
        <f>ROW(Source!A81)</f>
        <v>81</v>
      </c>
      <c r="B101">
        <v>55468473</v>
      </c>
      <c r="C101">
        <v>55469220</v>
      </c>
      <c r="D101">
        <v>44815737</v>
      </c>
      <c r="E101">
        <v>1</v>
      </c>
      <c r="F101">
        <v>1</v>
      </c>
      <c r="G101">
        <v>1</v>
      </c>
      <c r="H101">
        <v>3</v>
      </c>
      <c r="I101" t="s">
        <v>349</v>
      </c>
      <c r="J101" t="s">
        <v>350</v>
      </c>
      <c r="K101" t="s">
        <v>351</v>
      </c>
      <c r="L101">
        <v>1371</v>
      </c>
      <c r="N101">
        <v>1013</v>
      </c>
      <c r="O101" t="s">
        <v>129</v>
      </c>
      <c r="P101" t="s">
        <v>129</v>
      </c>
      <c r="Q101">
        <v>1</v>
      </c>
      <c r="W101">
        <v>0</v>
      </c>
      <c r="X101">
        <v>-973918835</v>
      </c>
      <c r="Y101">
        <v>0.782</v>
      </c>
      <c r="AA101">
        <v>4901.05</v>
      </c>
      <c r="AB101">
        <v>0</v>
      </c>
      <c r="AC101">
        <v>0</v>
      </c>
      <c r="AD101">
        <v>0</v>
      </c>
      <c r="AE101">
        <v>737</v>
      </c>
      <c r="AF101">
        <v>0</v>
      </c>
      <c r="AG101">
        <v>0</v>
      </c>
      <c r="AH101">
        <v>0</v>
      </c>
      <c r="AI101">
        <v>6.65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0.782</v>
      </c>
      <c r="AV101">
        <v>0</v>
      </c>
      <c r="AW101">
        <v>2</v>
      </c>
      <c r="AX101">
        <v>55469265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Y101*Source!I81</f>
        <v>0.03519</v>
      </c>
      <c r="CY101">
        <f t="shared" si="27"/>
        <v>4901.05</v>
      </c>
      <c r="CZ101">
        <f t="shared" si="28"/>
        <v>737</v>
      </c>
      <c r="DA101">
        <f t="shared" si="29"/>
        <v>6.65</v>
      </c>
      <c r="DB101">
        <f t="shared" si="30"/>
        <v>576.33</v>
      </c>
      <c r="DC101">
        <f t="shared" si="31"/>
        <v>0</v>
      </c>
    </row>
    <row r="102" spans="1:107" ht="12.75">
      <c r="A102">
        <f>ROW(Source!A81)</f>
        <v>81</v>
      </c>
      <c r="B102">
        <v>55468473</v>
      </c>
      <c r="C102">
        <v>55469220</v>
      </c>
      <c r="D102">
        <v>44818493</v>
      </c>
      <c r="E102">
        <v>1</v>
      </c>
      <c r="F102">
        <v>1</v>
      </c>
      <c r="G102">
        <v>1</v>
      </c>
      <c r="H102">
        <v>3</v>
      </c>
      <c r="I102" t="s">
        <v>136</v>
      </c>
      <c r="J102" t="s">
        <v>139</v>
      </c>
      <c r="K102" t="s">
        <v>137</v>
      </c>
      <c r="L102">
        <v>1348</v>
      </c>
      <c r="N102">
        <v>1009</v>
      </c>
      <c r="O102" t="s">
        <v>138</v>
      </c>
      <c r="P102" t="s">
        <v>138</v>
      </c>
      <c r="Q102">
        <v>1000</v>
      </c>
      <c r="W102">
        <v>0</v>
      </c>
      <c r="X102">
        <v>783068224</v>
      </c>
      <c r="Y102">
        <v>100</v>
      </c>
      <c r="AA102">
        <v>3192</v>
      </c>
      <c r="AB102">
        <v>0</v>
      </c>
      <c r="AC102">
        <v>0</v>
      </c>
      <c r="AD102">
        <v>0</v>
      </c>
      <c r="AE102">
        <v>480</v>
      </c>
      <c r="AF102">
        <v>0</v>
      </c>
      <c r="AG102">
        <v>0</v>
      </c>
      <c r="AH102">
        <v>0</v>
      </c>
      <c r="AI102">
        <v>6.65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T102">
        <v>100</v>
      </c>
      <c r="AV102">
        <v>0</v>
      </c>
      <c r="AW102">
        <v>1</v>
      </c>
      <c r="AX102">
        <v>-1</v>
      </c>
      <c r="AY102">
        <v>0</v>
      </c>
      <c r="AZ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Y102*Source!I81</f>
        <v>4.5</v>
      </c>
      <c r="CY102">
        <f t="shared" si="27"/>
        <v>3192</v>
      </c>
      <c r="CZ102">
        <f t="shared" si="28"/>
        <v>480</v>
      </c>
      <c r="DA102">
        <f t="shared" si="29"/>
        <v>6.65</v>
      </c>
      <c r="DB102">
        <f t="shared" si="30"/>
        <v>48000</v>
      </c>
      <c r="DC102">
        <f t="shared" si="31"/>
        <v>0</v>
      </c>
    </row>
    <row r="103" spans="1:107" ht="12.75">
      <c r="A103">
        <f>ROW(Source!A81)</f>
        <v>81</v>
      </c>
      <c r="B103">
        <v>55468473</v>
      </c>
      <c r="C103">
        <v>55469220</v>
      </c>
      <c r="D103">
        <v>44832417</v>
      </c>
      <c r="E103">
        <v>1</v>
      </c>
      <c r="F103">
        <v>1</v>
      </c>
      <c r="G103">
        <v>1</v>
      </c>
      <c r="H103">
        <v>3</v>
      </c>
      <c r="I103" t="s">
        <v>352</v>
      </c>
      <c r="J103" t="s">
        <v>353</v>
      </c>
      <c r="K103" t="s">
        <v>354</v>
      </c>
      <c r="L103">
        <v>1348</v>
      </c>
      <c r="N103">
        <v>1009</v>
      </c>
      <c r="O103" t="s">
        <v>138</v>
      </c>
      <c r="P103" t="s">
        <v>138</v>
      </c>
      <c r="Q103">
        <v>1000</v>
      </c>
      <c r="W103">
        <v>0</v>
      </c>
      <c r="X103">
        <v>168138350</v>
      </c>
      <c r="Y103">
        <v>0.0008</v>
      </c>
      <c r="AA103">
        <v>39826.85</v>
      </c>
      <c r="AB103">
        <v>0</v>
      </c>
      <c r="AC103">
        <v>0</v>
      </c>
      <c r="AD103">
        <v>0</v>
      </c>
      <c r="AE103">
        <v>5989</v>
      </c>
      <c r="AF103">
        <v>0</v>
      </c>
      <c r="AG103">
        <v>0</v>
      </c>
      <c r="AH103">
        <v>0</v>
      </c>
      <c r="AI103">
        <v>6.65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0.0008</v>
      </c>
      <c r="AV103">
        <v>0</v>
      </c>
      <c r="AW103">
        <v>2</v>
      </c>
      <c r="AX103">
        <v>55469267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Y103*Source!I81</f>
        <v>3.6E-05</v>
      </c>
      <c r="CY103">
        <f t="shared" si="27"/>
        <v>39826.85</v>
      </c>
      <c r="CZ103">
        <f t="shared" si="28"/>
        <v>5989</v>
      </c>
      <c r="DA103">
        <f t="shared" si="29"/>
        <v>6.65</v>
      </c>
      <c r="DB103">
        <f t="shared" si="30"/>
        <v>4.79</v>
      </c>
      <c r="DC103">
        <f t="shared" si="31"/>
        <v>0</v>
      </c>
    </row>
    <row r="104" spans="1:107" ht="12.75">
      <c r="A104">
        <f>ROW(Source!A81)</f>
        <v>81</v>
      </c>
      <c r="B104">
        <v>55468473</v>
      </c>
      <c r="C104">
        <v>55469220</v>
      </c>
      <c r="D104">
        <v>44835312</v>
      </c>
      <c r="E104">
        <v>1</v>
      </c>
      <c r="F104">
        <v>1</v>
      </c>
      <c r="G104">
        <v>1</v>
      </c>
      <c r="H104">
        <v>3</v>
      </c>
      <c r="I104" t="s">
        <v>355</v>
      </c>
      <c r="J104" t="s">
        <v>356</v>
      </c>
      <c r="K104" t="s">
        <v>357</v>
      </c>
      <c r="L104">
        <v>1348</v>
      </c>
      <c r="N104">
        <v>1009</v>
      </c>
      <c r="O104" t="s">
        <v>138</v>
      </c>
      <c r="P104" t="s">
        <v>138</v>
      </c>
      <c r="Q104">
        <v>1000</v>
      </c>
      <c r="W104">
        <v>0</v>
      </c>
      <c r="X104">
        <v>207806520</v>
      </c>
      <c r="Y104">
        <v>0.0008</v>
      </c>
      <c r="AA104">
        <v>36708</v>
      </c>
      <c r="AB104">
        <v>0</v>
      </c>
      <c r="AC104">
        <v>0</v>
      </c>
      <c r="AD104">
        <v>0</v>
      </c>
      <c r="AE104">
        <v>5520</v>
      </c>
      <c r="AF104">
        <v>0</v>
      </c>
      <c r="AG104">
        <v>0</v>
      </c>
      <c r="AH104">
        <v>0</v>
      </c>
      <c r="AI104">
        <v>6.65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0.0008</v>
      </c>
      <c r="AV104">
        <v>0</v>
      </c>
      <c r="AW104">
        <v>2</v>
      </c>
      <c r="AX104">
        <v>55469268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Y104*Source!I81</f>
        <v>3.6E-05</v>
      </c>
      <c r="CY104">
        <f t="shared" si="27"/>
        <v>36708</v>
      </c>
      <c r="CZ104">
        <f t="shared" si="28"/>
        <v>5520</v>
      </c>
      <c r="DA104">
        <f t="shared" si="29"/>
        <v>6.65</v>
      </c>
      <c r="DB104">
        <f t="shared" si="30"/>
        <v>4.42</v>
      </c>
      <c r="DC104">
        <f t="shared" si="31"/>
        <v>0</v>
      </c>
    </row>
    <row r="105" spans="1:107" ht="12.75">
      <c r="A105">
        <f>ROW(Source!A84)</f>
        <v>84</v>
      </c>
      <c r="B105">
        <v>55468472</v>
      </c>
      <c r="C105">
        <v>55469270</v>
      </c>
      <c r="D105">
        <v>37822912</v>
      </c>
      <c r="E105">
        <v>54</v>
      </c>
      <c r="F105">
        <v>1</v>
      </c>
      <c r="G105">
        <v>1</v>
      </c>
      <c r="H105">
        <v>1</v>
      </c>
      <c r="I105" t="s">
        <v>358</v>
      </c>
      <c r="K105" t="s">
        <v>359</v>
      </c>
      <c r="L105">
        <v>1191</v>
      </c>
      <c r="N105">
        <v>1013</v>
      </c>
      <c r="O105" t="s">
        <v>245</v>
      </c>
      <c r="P105" t="s">
        <v>245</v>
      </c>
      <c r="Q105">
        <v>1</v>
      </c>
      <c r="W105">
        <v>0</v>
      </c>
      <c r="X105">
        <v>-1081351934</v>
      </c>
      <c r="Y105">
        <v>0.8049999999999999</v>
      </c>
      <c r="AA105">
        <v>0</v>
      </c>
      <c r="AB105">
        <v>0</v>
      </c>
      <c r="AC105">
        <v>0</v>
      </c>
      <c r="AD105">
        <v>9.4</v>
      </c>
      <c r="AE105">
        <v>0</v>
      </c>
      <c r="AF105">
        <v>0</v>
      </c>
      <c r="AG105">
        <v>0</v>
      </c>
      <c r="AH105">
        <v>9.4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0.35</v>
      </c>
      <c r="AU105" t="s">
        <v>146</v>
      </c>
      <c r="AV105">
        <v>1</v>
      </c>
      <c r="AW105">
        <v>2</v>
      </c>
      <c r="AX105">
        <v>55469282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Y105*Source!I84</f>
        <v>0.03622499999999999</v>
      </c>
      <c r="CY105">
        <f>AD105</f>
        <v>9.4</v>
      </c>
      <c r="CZ105">
        <f>AH105</f>
        <v>9.4</v>
      </c>
      <c r="DA105">
        <f>AL105</f>
        <v>1</v>
      </c>
      <c r="DB105">
        <f>ROUND((ROUND(AT105*CZ105,2)*ROUND((2*1.15),7)),2)</f>
        <v>7.57</v>
      </c>
      <c r="DC105">
        <f>ROUND((ROUND(AT105*AG105,2)*ROUND((2*1.15),7)),2)</f>
        <v>0</v>
      </c>
    </row>
    <row r="106" spans="1:107" ht="12.75">
      <c r="A106">
        <f>ROW(Source!A84)</f>
        <v>84</v>
      </c>
      <c r="B106">
        <v>55468472</v>
      </c>
      <c r="C106">
        <v>55469270</v>
      </c>
      <c r="D106">
        <v>37822850</v>
      </c>
      <c r="E106">
        <v>54</v>
      </c>
      <c r="F106">
        <v>1</v>
      </c>
      <c r="G106">
        <v>1</v>
      </c>
      <c r="H106">
        <v>1</v>
      </c>
      <c r="I106" t="s">
        <v>246</v>
      </c>
      <c r="K106" t="s">
        <v>247</v>
      </c>
      <c r="L106">
        <v>1191</v>
      </c>
      <c r="N106">
        <v>1013</v>
      </c>
      <c r="O106" t="s">
        <v>245</v>
      </c>
      <c r="P106" t="s">
        <v>245</v>
      </c>
      <c r="Q106">
        <v>1</v>
      </c>
      <c r="W106">
        <v>0</v>
      </c>
      <c r="X106">
        <v>-1417349443</v>
      </c>
      <c r="Y106">
        <v>1.1749999999999998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0.47</v>
      </c>
      <c r="AU106" t="s">
        <v>145</v>
      </c>
      <c r="AV106">
        <v>2</v>
      </c>
      <c r="AW106">
        <v>2</v>
      </c>
      <c r="AX106">
        <v>55469283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Y106*Source!I84</f>
        <v>0.05287499999999999</v>
      </c>
      <c r="CY106">
        <f>AD106</f>
        <v>0</v>
      </c>
      <c r="CZ106">
        <f>AH106</f>
        <v>0</v>
      </c>
      <c r="DA106">
        <f>AL106</f>
        <v>1</v>
      </c>
      <c r="DB106">
        <f aca="true" t="shared" si="32" ref="DB106:DB112">ROUND((ROUND(AT106*CZ106,2)*ROUND((2*1.25),7)),2)</f>
        <v>0</v>
      </c>
      <c r="DC106">
        <f aca="true" t="shared" si="33" ref="DC106:DC112">ROUND((ROUND(AT106*AG106,2)*ROUND((2*1.25),7)),2)</f>
        <v>0</v>
      </c>
    </row>
    <row r="107" spans="1:107" ht="12.75">
      <c r="A107">
        <f>ROW(Source!A84)</f>
        <v>84</v>
      </c>
      <c r="B107">
        <v>55468472</v>
      </c>
      <c r="C107">
        <v>55469270</v>
      </c>
      <c r="D107">
        <v>44976423</v>
      </c>
      <c r="E107">
        <v>1</v>
      </c>
      <c r="F107">
        <v>1</v>
      </c>
      <c r="G107">
        <v>1</v>
      </c>
      <c r="H107">
        <v>2</v>
      </c>
      <c r="I107" t="s">
        <v>39</v>
      </c>
      <c r="J107" t="s">
        <v>42</v>
      </c>
      <c r="K107" t="s">
        <v>40</v>
      </c>
      <c r="L107">
        <v>1368</v>
      </c>
      <c r="N107">
        <v>1011</v>
      </c>
      <c r="O107" t="s">
        <v>289</v>
      </c>
      <c r="P107" t="s">
        <v>289</v>
      </c>
      <c r="Q107">
        <v>1</v>
      </c>
      <c r="W107">
        <v>0</v>
      </c>
      <c r="X107">
        <v>-1238471744</v>
      </c>
      <c r="Y107">
        <v>0.275</v>
      </c>
      <c r="AA107">
        <v>0</v>
      </c>
      <c r="AB107">
        <v>89.99</v>
      </c>
      <c r="AC107">
        <v>10.06</v>
      </c>
      <c r="AD107">
        <v>0</v>
      </c>
      <c r="AE107">
        <v>0</v>
      </c>
      <c r="AF107">
        <v>89.99</v>
      </c>
      <c r="AG107">
        <v>10.06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0.11</v>
      </c>
      <c r="AU107" t="s">
        <v>145</v>
      </c>
      <c r="AV107">
        <v>0</v>
      </c>
      <c r="AW107">
        <v>2</v>
      </c>
      <c r="AX107">
        <v>55469284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Y107*Source!I84</f>
        <v>0.012375</v>
      </c>
      <c r="CY107">
        <f aca="true" t="shared" si="34" ref="CY107:CY112">AB107</f>
        <v>89.99</v>
      </c>
      <c r="CZ107">
        <f aca="true" t="shared" si="35" ref="CZ107:CZ112">AF107</f>
        <v>89.99</v>
      </c>
      <c r="DA107">
        <f aca="true" t="shared" si="36" ref="DA107:DA112">AJ107</f>
        <v>1</v>
      </c>
      <c r="DB107">
        <f t="shared" si="32"/>
        <v>24.75</v>
      </c>
      <c r="DC107">
        <f t="shared" si="33"/>
        <v>2.78</v>
      </c>
    </row>
    <row r="108" spans="1:107" ht="12.75">
      <c r="A108">
        <f>ROW(Source!A84)</f>
        <v>84</v>
      </c>
      <c r="B108">
        <v>55468472</v>
      </c>
      <c r="C108">
        <v>55469270</v>
      </c>
      <c r="D108">
        <v>44976638</v>
      </c>
      <c r="E108">
        <v>1</v>
      </c>
      <c r="F108">
        <v>1</v>
      </c>
      <c r="G108">
        <v>1</v>
      </c>
      <c r="H108">
        <v>2</v>
      </c>
      <c r="I108" t="s">
        <v>307</v>
      </c>
      <c r="J108" t="s">
        <v>308</v>
      </c>
      <c r="K108" t="s">
        <v>309</v>
      </c>
      <c r="L108">
        <v>1368</v>
      </c>
      <c r="N108">
        <v>1011</v>
      </c>
      <c r="O108" t="s">
        <v>289</v>
      </c>
      <c r="P108" t="s">
        <v>289</v>
      </c>
      <c r="Q108">
        <v>1</v>
      </c>
      <c r="W108">
        <v>0</v>
      </c>
      <c r="X108">
        <v>-2017054938</v>
      </c>
      <c r="Y108">
        <v>0.25</v>
      </c>
      <c r="AA108">
        <v>0</v>
      </c>
      <c r="AB108">
        <v>694.79</v>
      </c>
      <c r="AC108">
        <v>16.44</v>
      </c>
      <c r="AD108">
        <v>0</v>
      </c>
      <c r="AE108">
        <v>0</v>
      </c>
      <c r="AF108">
        <v>694.79</v>
      </c>
      <c r="AG108">
        <v>16.44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0.1</v>
      </c>
      <c r="AU108" t="s">
        <v>145</v>
      </c>
      <c r="AV108">
        <v>0</v>
      </c>
      <c r="AW108">
        <v>2</v>
      </c>
      <c r="AX108">
        <v>55469285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Y108*Source!I84</f>
        <v>0.01125</v>
      </c>
      <c r="CY108">
        <f t="shared" si="34"/>
        <v>694.79</v>
      </c>
      <c r="CZ108">
        <f t="shared" si="35"/>
        <v>694.79</v>
      </c>
      <c r="DA108">
        <f t="shared" si="36"/>
        <v>1</v>
      </c>
      <c r="DB108">
        <f t="shared" si="32"/>
        <v>173.7</v>
      </c>
      <c r="DC108">
        <f t="shared" si="33"/>
        <v>4.1</v>
      </c>
    </row>
    <row r="109" spans="1:107" ht="12.75">
      <c r="A109">
        <f>ROW(Source!A84)</f>
        <v>84</v>
      </c>
      <c r="B109">
        <v>55468472</v>
      </c>
      <c r="C109">
        <v>55469270</v>
      </c>
      <c r="D109">
        <v>44976813</v>
      </c>
      <c r="E109">
        <v>1</v>
      </c>
      <c r="F109">
        <v>1</v>
      </c>
      <c r="G109">
        <v>1</v>
      </c>
      <c r="H109">
        <v>2</v>
      </c>
      <c r="I109" t="s">
        <v>325</v>
      </c>
      <c r="J109" t="s">
        <v>326</v>
      </c>
      <c r="K109" t="s">
        <v>327</v>
      </c>
      <c r="L109">
        <v>1368</v>
      </c>
      <c r="N109">
        <v>1011</v>
      </c>
      <c r="O109" t="s">
        <v>289</v>
      </c>
      <c r="P109" t="s">
        <v>289</v>
      </c>
      <c r="Q109">
        <v>1</v>
      </c>
      <c r="W109">
        <v>0</v>
      </c>
      <c r="X109">
        <v>2072184356</v>
      </c>
      <c r="Y109">
        <v>0.25</v>
      </c>
      <c r="AA109">
        <v>0</v>
      </c>
      <c r="AB109">
        <v>1503.75</v>
      </c>
      <c r="AC109">
        <v>14.4</v>
      </c>
      <c r="AD109">
        <v>0</v>
      </c>
      <c r="AE109">
        <v>0</v>
      </c>
      <c r="AF109">
        <v>1503.75</v>
      </c>
      <c r="AG109">
        <v>14.4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0.1</v>
      </c>
      <c r="AU109" t="s">
        <v>145</v>
      </c>
      <c r="AV109">
        <v>0</v>
      </c>
      <c r="AW109">
        <v>2</v>
      </c>
      <c r="AX109">
        <v>55469286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Y109*Source!I84</f>
        <v>0.01125</v>
      </c>
      <c r="CY109">
        <f t="shared" si="34"/>
        <v>1503.75</v>
      </c>
      <c r="CZ109">
        <f t="shared" si="35"/>
        <v>1503.75</v>
      </c>
      <c r="DA109">
        <f t="shared" si="36"/>
        <v>1</v>
      </c>
      <c r="DB109">
        <f t="shared" si="32"/>
        <v>375.95</v>
      </c>
      <c r="DC109">
        <f t="shared" si="33"/>
        <v>3.6</v>
      </c>
    </row>
    <row r="110" spans="1:107" ht="12.75">
      <c r="A110">
        <f>ROW(Source!A84)</f>
        <v>84</v>
      </c>
      <c r="B110">
        <v>55468472</v>
      </c>
      <c r="C110">
        <v>55469270</v>
      </c>
      <c r="D110">
        <v>44976814</v>
      </c>
      <c r="E110">
        <v>1</v>
      </c>
      <c r="F110">
        <v>1</v>
      </c>
      <c r="G110">
        <v>1</v>
      </c>
      <c r="H110">
        <v>2</v>
      </c>
      <c r="I110" t="s">
        <v>328</v>
      </c>
      <c r="J110" t="s">
        <v>329</v>
      </c>
      <c r="K110" t="s">
        <v>330</v>
      </c>
      <c r="L110">
        <v>1368</v>
      </c>
      <c r="N110">
        <v>1011</v>
      </c>
      <c r="O110" t="s">
        <v>289</v>
      </c>
      <c r="P110" t="s">
        <v>289</v>
      </c>
      <c r="Q110">
        <v>1</v>
      </c>
      <c r="W110">
        <v>0</v>
      </c>
      <c r="X110">
        <v>-683120804</v>
      </c>
      <c r="Y110">
        <v>0.25</v>
      </c>
      <c r="AA110">
        <v>0</v>
      </c>
      <c r="AB110">
        <v>19.4</v>
      </c>
      <c r="AC110">
        <v>0</v>
      </c>
      <c r="AD110">
        <v>0</v>
      </c>
      <c r="AE110">
        <v>0</v>
      </c>
      <c r="AF110">
        <v>19.4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0.1</v>
      </c>
      <c r="AU110" t="s">
        <v>145</v>
      </c>
      <c r="AV110">
        <v>0</v>
      </c>
      <c r="AW110">
        <v>2</v>
      </c>
      <c r="AX110">
        <v>55469287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Y110*Source!I84</f>
        <v>0.01125</v>
      </c>
      <c r="CY110">
        <f t="shared" si="34"/>
        <v>19.4</v>
      </c>
      <c r="CZ110">
        <f t="shared" si="35"/>
        <v>19.4</v>
      </c>
      <c r="DA110">
        <f t="shared" si="36"/>
        <v>1</v>
      </c>
      <c r="DB110">
        <f t="shared" si="32"/>
        <v>4.85</v>
      </c>
      <c r="DC110">
        <f t="shared" si="33"/>
        <v>0</v>
      </c>
    </row>
    <row r="111" spans="1:107" ht="12.75">
      <c r="A111">
        <f>ROW(Source!A84)</f>
        <v>84</v>
      </c>
      <c r="B111">
        <v>55468472</v>
      </c>
      <c r="C111">
        <v>55469270</v>
      </c>
      <c r="D111">
        <v>44977227</v>
      </c>
      <c r="E111">
        <v>1</v>
      </c>
      <c r="F111">
        <v>1</v>
      </c>
      <c r="G111">
        <v>1</v>
      </c>
      <c r="H111">
        <v>2</v>
      </c>
      <c r="I111" t="s">
        <v>254</v>
      </c>
      <c r="J111" t="s">
        <v>255</v>
      </c>
      <c r="K111" t="s">
        <v>256</v>
      </c>
      <c r="L111">
        <v>1368</v>
      </c>
      <c r="N111">
        <v>1011</v>
      </c>
      <c r="O111" t="s">
        <v>289</v>
      </c>
      <c r="P111" t="s">
        <v>289</v>
      </c>
      <c r="Q111">
        <v>1</v>
      </c>
      <c r="W111">
        <v>0</v>
      </c>
      <c r="X111">
        <v>-101166653</v>
      </c>
      <c r="Y111">
        <v>0.25</v>
      </c>
      <c r="AA111">
        <v>0</v>
      </c>
      <c r="AB111">
        <v>110</v>
      </c>
      <c r="AC111">
        <v>11.6</v>
      </c>
      <c r="AD111">
        <v>0</v>
      </c>
      <c r="AE111">
        <v>0</v>
      </c>
      <c r="AF111">
        <v>110</v>
      </c>
      <c r="AG111">
        <v>11.6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0.1</v>
      </c>
      <c r="AU111" t="s">
        <v>145</v>
      </c>
      <c r="AV111">
        <v>0</v>
      </c>
      <c r="AW111">
        <v>2</v>
      </c>
      <c r="AX111">
        <v>55469288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Y111*Source!I84</f>
        <v>0.01125</v>
      </c>
      <c r="CY111">
        <f t="shared" si="34"/>
        <v>110</v>
      </c>
      <c r="CZ111">
        <f t="shared" si="35"/>
        <v>110</v>
      </c>
      <c r="DA111">
        <f t="shared" si="36"/>
        <v>1</v>
      </c>
      <c r="DB111">
        <f t="shared" si="32"/>
        <v>27.5</v>
      </c>
      <c r="DC111">
        <f t="shared" si="33"/>
        <v>2.9</v>
      </c>
    </row>
    <row r="112" spans="1:107" ht="12.75">
      <c r="A112">
        <f>ROW(Source!A84)</f>
        <v>84</v>
      </c>
      <c r="B112">
        <v>55468472</v>
      </c>
      <c r="C112">
        <v>55469270</v>
      </c>
      <c r="D112">
        <v>44977523</v>
      </c>
      <c r="E112">
        <v>1</v>
      </c>
      <c r="F112">
        <v>1</v>
      </c>
      <c r="G112">
        <v>1</v>
      </c>
      <c r="H112">
        <v>2</v>
      </c>
      <c r="I112" t="s">
        <v>334</v>
      </c>
      <c r="J112" t="s">
        <v>335</v>
      </c>
      <c r="K112" t="s">
        <v>336</v>
      </c>
      <c r="L112">
        <v>1368</v>
      </c>
      <c r="N112">
        <v>1011</v>
      </c>
      <c r="O112" t="s">
        <v>289</v>
      </c>
      <c r="P112" t="s">
        <v>289</v>
      </c>
      <c r="Q112">
        <v>1</v>
      </c>
      <c r="W112">
        <v>0</v>
      </c>
      <c r="X112">
        <v>-1427538762</v>
      </c>
      <c r="Y112">
        <v>0.15</v>
      </c>
      <c r="AA112">
        <v>0</v>
      </c>
      <c r="AB112">
        <v>203.2</v>
      </c>
      <c r="AC112">
        <v>10.06</v>
      </c>
      <c r="AD112">
        <v>0</v>
      </c>
      <c r="AE112">
        <v>0</v>
      </c>
      <c r="AF112">
        <v>203.2</v>
      </c>
      <c r="AG112">
        <v>10.06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0.06</v>
      </c>
      <c r="AU112" t="s">
        <v>145</v>
      </c>
      <c r="AV112">
        <v>0</v>
      </c>
      <c r="AW112">
        <v>2</v>
      </c>
      <c r="AX112">
        <v>55469289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Y112*Source!I84</f>
        <v>0.00675</v>
      </c>
      <c r="CY112">
        <f t="shared" si="34"/>
        <v>203.2</v>
      </c>
      <c r="CZ112">
        <f t="shared" si="35"/>
        <v>203.2</v>
      </c>
      <c r="DA112">
        <f t="shared" si="36"/>
        <v>1</v>
      </c>
      <c r="DB112">
        <f t="shared" si="32"/>
        <v>30.48</v>
      </c>
      <c r="DC112">
        <f t="shared" si="33"/>
        <v>1.5</v>
      </c>
    </row>
    <row r="113" spans="1:107" ht="12.75">
      <c r="A113">
        <f>ROW(Source!A84)</f>
        <v>84</v>
      </c>
      <c r="B113">
        <v>55468472</v>
      </c>
      <c r="C113">
        <v>55469270</v>
      </c>
      <c r="D113">
        <v>44810508</v>
      </c>
      <c r="E113">
        <v>1</v>
      </c>
      <c r="F113">
        <v>1</v>
      </c>
      <c r="G113">
        <v>1</v>
      </c>
      <c r="H113">
        <v>3</v>
      </c>
      <c r="I113" t="s">
        <v>337</v>
      </c>
      <c r="J113" t="s">
        <v>338</v>
      </c>
      <c r="K113" t="s">
        <v>339</v>
      </c>
      <c r="L113">
        <v>1348</v>
      </c>
      <c r="N113">
        <v>1009</v>
      </c>
      <c r="O113" t="s">
        <v>138</v>
      </c>
      <c r="P113" t="s">
        <v>138</v>
      </c>
      <c r="Q113">
        <v>1000</v>
      </c>
      <c r="W113">
        <v>0</v>
      </c>
      <c r="X113">
        <v>-174182251</v>
      </c>
      <c r="Y113">
        <v>0.002</v>
      </c>
      <c r="AA113">
        <v>1554.2</v>
      </c>
      <c r="AB113">
        <v>0</v>
      </c>
      <c r="AC113">
        <v>0</v>
      </c>
      <c r="AD113">
        <v>0</v>
      </c>
      <c r="AE113">
        <v>1554.2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0.001</v>
      </c>
      <c r="AU113" t="s">
        <v>144</v>
      </c>
      <c r="AV113">
        <v>0</v>
      </c>
      <c r="AW113">
        <v>2</v>
      </c>
      <c r="AX113">
        <v>55469290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Y113*Source!I84</f>
        <v>8.999999999999999E-05</v>
      </c>
      <c r="CY113">
        <f>AA113</f>
        <v>1554.2</v>
      </c>
      <c r="CZ113">
        <f>AE113</f>
        <v>1554.2</v>
      </c>
      <c r="DA113">
        <f>AI113</f>
        <v>1</v>
      </c>
      <c r="DB113">
        <f>ROUND((ROUND(AT113*CZ113,2)*ROUND(2,7)),2)</f>
        <v>3.1</v>
      </c>
      <c r="DC113">
        <f>ROUND((ROUND(AT113*AG113,2)*ROUND(2,7)),2)</f>
        <v>0</v>
      </c>
    </row>
    <row r="114" spans="1:107" ht="12.75">
      <c r="A114">
        <f>ROW(Source!A84)</f>
        <v>84</v>
      </c>
      <c r="B114">
        <v>55468472</v>
      </c>
      <c r="C114">
        <v>55469270</v>
      </c>
      <c r="D114">
        <v>44812338</v>
      </c>
      <c r="E114">
        <v>1</v>
      </c>
      <c r="F114">
        <v>1</v>
      </c>
      <c r="G114">
        <v>1</v>
      </c>
      <c r="H114">
        <v>3</v>
      </c>
      <c r="I114" t="s">
        <v>340</v>
      </c>
      <c r="J114" t="s">
        <v>341</v>
      </c>
      <c r="K114" t="s">
        <v>342</v>
      </c>
      <c r="L114">
        <v>1339</v>
      </c>
      <c r="N114">
        <v>1007</v>
      </c>
      <c r="O114" t="s">
        <v>269</v>
      </c>
      <c r="P114" t="s">
        <v>269</v>
      </c>
      <c r="Q114">
        <v>1</v>
      </c>
      <c r="W114">
        <v>0</v>
      </c>
      <c r="X114">
        <v>-771516631</v>
      </c>
      <c r="Y114">
        <v>0.88</v>
      </c>
      <c r="AA114">
        <v>3.15</v>
      </c>
      <c r="AB114">
        <v>0</v>
      </c>
      <c r="AC114">
        <v>0</v>
      </c>
      <c r="AD114">
        <v>0</v>
      </c>
      <c r="AE114">
        <v>3.15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0.44</v>
      </c>
      <c r="AU114" t="s">
        <v>144</v>
      </c>
      <c r="AV114">
        <v>0</v>
      </c>
      <c r="AW114">
        <v>2</v>
      </c>
      <c r="AX114">
        <v>55469291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Y114*Source!I84</f>
        <v>0.039599999999999996</v>
      </c>
      <c r="CY114">
        <f>AA114</f>
        <v>3.15</v>
      </c>
      <c r="CZ114">
        <f>AE114</f>
        <v>3.15</v>
      </c>
      <c r="DA114">
        <f>AI114</f>
        <v>1</v>
      </c>
      <c r="DB114">
        <f>ROUND((ROUND(AT114*CZ114,2)*ROUND(2,7)),2)</f>
        <v>2.78</v>
      </c>
      <c r="DC114">
        <f>ROUND((ROUND(AT114*AG114,2)*ROUND(2,7)),2)</f>
        <v>0</v>
      </c>
    </row>
    <row r="115" spans="1:107" ht="12.75">
      <c r="A115">
        <f>ROW(Source!A84)</f>
        <v>84</v>
      </c>
      <c r="B115">
        <v>55468472</v>
      </c>
      <c r="C115">
        <v>55469270</v>
      </c>
      <c r="D115">
        <v>44818493</v>
      </c>
      <c r="E115">
        <v>1</v>
      </c>
      <c r="F115">
        <v>1</v>
      </c>
      <c r="G115">
        <v>1</v>
      </c>
      <c r="H115">
        <v>3</v>
      </c>
      <c r="I115" t="s">
        <v>136</v>
      </c>
      <c r="J115" t="s">
        <v>139</v>
      </c>
      <c r="K115" t="s">
        <v>137</v>
      </c>
      <c r="L115">
        <v>1348</v>
      </c>
      <c r="N115">
        <v>1009</v>
      </c>
      <c r="O115" t="s">
        <v>138</v>
      </c>
      <c r="P115" t="s">
        <v>138</v>
      </c>
      <c r="Q115">
        <v>1000</v>
      </c>
      <c r="W115">
        <v>0</v>
      </c>
      <c r="X115">
        <v>783068224</v>
      </c>
      <c r="Y115">
        <v>24.933333</v>
      </c>
      <c r="AA115">
        <v>480</v>
      </c>
      <c r="AB115">
        <v>0</v>
      </c>
      <c r="AC115">
        <v>0</v>
      </c>
      <c r="AD115">
        <v>0</v>
      </c>
      <c r="AE115">
        <v>480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T115">
        <v>24.933333</v>
      </c>
      <c r="AV115">
        <v>0</v>
      </c>
      <c r="AW115">
        <v>1</v>
      </c>
      <c r="AX115">
        <v>-1</v>
      </c>
      <c r="AY115">
        <v>0</v>
      </c>
      <c r="AZ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Y115*Source!I84</f>
        <v>1.121999985</v>
      </c>
      <c r="CY115">
        <f>AA115</f>
        <v>480</v>
      </c>
      <c r="CZ115">
        <f>AE115</f>
        <v>480</v>
      </c>
      <c r="DA115">
        <f>AI115</f>
        <v>1</v>
      </c>
      <c r="DB115">
        <f>ROUND(ROUND(AT115*CZ115,2),2)</f>
        <v>11968</v>
      </c>
      <c r="DC115">
        <f>ROUND(ROUND(AT115*AG115,2),2)</f>
        <v>0</v>
      </c>
    </row>
    <row r="116" spans="1:107" ht="12.75">
      <c r="A116">
        <f>ROW(Source!A85)</f>
        <v>85</v>
      </c>
      <c r="B116">
        <v>55468473</v>
      </c>
      <c r="C116">
        <v>55469270</v>
      </c>
      <c r="D116">
        <v>37822912</v>
      </c>
      <c r="E116">
        <v>54</v>
      </c>
      <c r="F116">
        <v>1</v>
      </c>
      <c r="G116">
        <v>1</v>
      </c>
      <c r="H116">
        <v>1</v>
      </c>
      <c r="I116" t="s">
        <v>358</v>
      </c>
      <c r="K116" t="s">
        <v>359</v>
      </c>
      <c r="L116">
        <v>1191</v>
      </c>
      <c r="N116">
        <v>1013</v>
      </c>
      <c r="O116" t="s">
        <v>245</v>
      </c>
      <c r="P116" t="s">
        <v>245</v>
      </c>
      <c r="Q116">
        <v>1</v>
      </c>
      <c r="W116">
        <v>0</v>
      </c>
      <c r="X116">
        <v>-1081351934</v>
      </c>
      <c r="Y116">
        <v>0.8049999999999999</v>
      </c>
      <c r="AA116">
        <v>0</v>
      </c>
      <c r="AB116">
        <v>0</v>
      </c>
      <c r="AC116">
        <v>0</v>
      </c>
      <c r="AD116">
        <v>346.58</v>
      </c>
      <c r="AE116">
        <v>0</v>
      </c>
      <c r="AF116">
        <v>0</v>
      </c>
      <c r="AG116">
        <v>0</v>
      </c>
      <c r="AH116">
        <v>9.4</v>
      </c>
      <c r="AI116">
        <v>1</v>
      </c>
      <c r="AJ116">
        <v>1</v>
      </c>
      <c r="AK116">
        <v>1</v>
      </c>
      <c r="AL116">
        <v>36.87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0.35</v>
      </c>
      <c r="AU116" t="s">
        <v>146</v>
      </c>
      <c r="AV116">
        <v>1</v>
      </c>
      <c r="AW116">
        <v>2</v>
      </c>
      <c r="AX116">
        <v>55469282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Y116*Source!I85</f>
        <v>0.03622499999999999</v>
      </c>
      <c r="CY116">
        <f>AD116</f>
        <v>346.58</v>
      </c>
      <c r="CZ116">
        <f>AH116</f>
        <v>9.4</v>
      </c>
      <c r="DA116">
        <f>AL116</f>
        <v>36.87</v>
      </c>
      <c r="DB116">
        <f>ROUND((ROUND(AT116*CZ116,2)*ROUND((2*1.15),7)),2)</f>
        <v>7.57</v>
      </c>
      <c r="DC116">
        <f>ROUND((ROUND(AT116*AG116,2)*ROUND((2*1.15),7)),2)</f>
        <v>0</v>
      </c>
    </row>
    <row r="117" spans="1:107" ht="12.75">
      <c r="A117">
        <f>ROW(Source!A85)</f>
        <v>85</v>
      </c>
      <c r="B117">
        <v>55468473</v>
      </c>
      <c r="C117">
        <v>55469270</v>
      </c>
      <c r="D117">
        <v>37822850</v>
      </c>
      <c r="E117">
        <v>54</v>
      </c>
      <c r="F117">
        <v>1</v>
      </c>
      <c r="G117">
        <v>1</v>
      </c>
      <c r="H117">
        <v>1</v>
      </c>
      <c r="I117" t="s">
        <v>246</v>
      </c>
      <c r="K117" t="s">
        <v>247</v>
      </c>
      <c r="L117">
        <v>1191</v>
      </c>
      <c r="N117">
        <v>1013</v>
      </c>
      <c r="O117" t="s">
        <v>245</v>
      </c>
      <c r="P117" t="s">
        <v>245</v>
      </c>
      <c r="Q117">
        <v>1</v>
      </c>
      <c r="W117">
        <v>0</v>
      </c>
      <c r="X117">
        <v>-1417349443</v>
      </c>
      <c r="Y117">
        <v>1.1749999999999998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36.87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0.47</v>
      </c>
      <c r="AU117" t="s">
        <v>145</v>
      </c>
      <c r="AV117">
        <v>2</v>
      </c>
      <c r="AW117">
        <v>2</v>
      </c>
      <c r="AX117">
        <v>55469283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Y117*Source!I85</f>
        <v>0.05287499999999999</v>
      </c>
      <c r="CY117">
        <f>AD117</f>
        <v>0</v>
      </c>
      <c r="CZ117">
        <f>AH117</f>
        <v>0</v>
      </c>
      <c r="DA117">
        <f>AL117</f>
        <v>1</v>
      </c>
      <c r="DB117">
        <f aca="true" t="shared" si="37" ref="DB117:DB123">ROUND((ROUND(AT117*CZ117,2)*ROUND((2*1.25),7)),2)</f>
        <v>0</v>
      </c>
      <c r="DC117">
        <f aca="true" t="shared" si="38" ref="DC117:DC123">ROUND((ROUND(AT117*AG117,2)*ROUND((2*1.25),7)),2)</f>
        <v>0</v>
      </c>
    </row>
    <row r="118" spans="1:107" ht="12.75">
      <c r="A118">
        <f>ROW(Source!A85)</f>
        <v>85</v>
      </c>
      <c r="B118">
        <v>55468473</v>
      </c>
      <c r="C118">
        <v>55469270</v>
      </c>
      <c r="D118">
        <v>44976423</v>
      </c>
      <c r="E118">
        <v>1</v>
      </c>
      <c r="F118">
        <v>1</v>
      </c>
      <c r="G118">
        <v>1</v>
      </c>
      <c r="H118">
        <v>2</v>
      </c>
      <c r="I118" t="s">
        <v>39</v>
      </c>
      <c r="J118" t="s">
        <v>42</v>
      </c>
      <c r="K118" t="s">
        <v>40</v>
      </c>
      <c r="L118">
        <v>1368</v>
      </c>
      <c r="N118">
        <v>1011</v>
      </c>
      <c r="O118" t="s">
        <v>289</v>
      </c>
      <c r="P118" t="s">
        <v>289</v>
      </c>
      <c r="Q118">
        <v>1</v>
      </c>
      <c r="W118">
        <v>0</v>
      </c>
      <c r="X118">
        <v>-1238471744</v>
      </c>
      <c r="Y118">
        <v>0.275</v>
      </c>
      <c r="AA118">
        <v>0</v>
      </c>
      <c r="AB118">
        <v>1177.97</v>
      </c>
      <c r="AC118">
        <v>370.91</v>
      </c>
      <c r="AD118">
        <v>0</v>
      </c>
      <c r="AE118">
        <v>0</v>
      </c>
      <c r="AF118">
        <v>89.99</v>
      </c>
      <c r="AG118">
        <v>10.06</v>
      </c>
      <c r="AH118">
        <v>0</v>
      </c>
      <c r="AI118">
        <v>1</v>
      </c>
      <c r="AJ118">
        <v>13.09</v>
      </c>
      <c r="AK118">
        <v>36.87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0.11</v>
      </c>
      <c r="AU118" t="s">
        <v>145</v>
      </c>
      <c r="AV118">
        <v>0</v>
      </c>
      <c r="AW118">
        <v>2</v>
      </c>
      <c r="AX118">
        <v>55469284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Y118*Source!I85</f>
        <v>0.012375</v>
      </c>
      <c r="CY118">
        <f aca="true" t="shared" si="39" ref="CY118:CY123">AB118</f>
        <v>1177.97</v>
      </c>
      <c r="CZ118">
        <f aca="true" t="shared" si="40" ref="CZ118:CZ123">AF118</f>
        <v>89.99</v>
      </c>
      <c r="DA118">
        <f aca="true" t="shared" si="41" ref="DA118:DA123">AJ118</f>
        <v>13.09</v>
      </c>
      <c r="DB118">
        <f t="shared" si="37"/>
        <v>24.75</v>
      </c>
      <c r="DC118">
        <f t="shared" si="38"/>
        <v>2.78</v>
      </c>
    </row>
    <row r="119" spans="1:107" ht="12.75">
      <c r="A119">
        <f>ROW(Source!A85)</f>
        <v>85</v>
      </c>
      <c r="B119">
        <v>55468473</v>
      </c>
      <c r="C119">
        <v>55469270</v>
      </c>
      <c r="D119">
        <v>44976638</v>
      </c>
      <c r="E119">
        <v>1</v>
      </c>
      <c r="F119">
        <v>1</v>
      </c>
      <c r="G119">
        <v>1</v>
      </c>
      <c r="H119">
        <v>2</v>
      </c>
      <c r="I119" t="s">
        <v>307</v>
      </c>
      <c r="J119" t="s">
        <v>308</v>
      </c>
      <c r="K119" t="s">
        <v>309</v>
      </c>
      <c r="L119">
        <v>1368</v>
      </c>
      <c r="N119">
        <v>1011</v>
      </c>
      <c r="O119" t="s">
        <v>289</v>
      </c>
      <c r="P119" t="s">
        <v>289</v>
      </c>
      <c r="Q119">
        <v>1</v>
      </c>
      <c r="W119">
        <v>0</v>
      </c>
      <c r="X119">
        <v>-2017054938</v>
      </c>
      <c r="Y119">
        <v>0.25</v>
      </c>
      <c r="AA119">
        <v>0</v>
      </c>
      <c r="AB119">
        <v>9094.8</v>
      </c>
      <c r="AC119">
        <v>606.14</v>
      </c>
      <c r="AD119">
        <v>0</v>
      </c>
      <c r="AE119">
        <v>0</v>
      </c>
      <c r="AF119">
        <v>694.79</v>
      </c>
      <c r="AG119">
        <v>16.44</v>
      </c>
      <c r="AH119">
        <v>0</v>
      </c>
      <c r="AI119">
        <v>1</v>
      </c>
      <c r="AJ119">
        <v>13.09</v>
      </c>
      <c r="AK119">
        <v>36.87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0.1</v>
      </c>
      <c r="AU119" t="s">
        <v>145</v>
      </c>
      <c r="AV119">
        <v>0</v>
      </c>
      <c r="AW119">
        <v>2</v>
      </c>
      <c r="AX119">
        <v>55469285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Y119*Source!I85</f>
        <v>0.01125</v>
      </c>
      <c r="CY119">
        <f t="shared" si="39"/>
        <v>9094.8</v>
      </c>
      <c r="CZ119">
        <f t="shared" si="40"/>
        <v>694.79</v>
      </c>
      <c r="DA119">
        <f t="shared" si="41"/>
        <v>13.09</v>
      </c>
      <c r="DB119">
        <f t="shared" si="37"/>
        <v>173.7</v>
      </c>
      <c r="DC119">
        <f t="shared" si="38"/>
        <v>4.1</v>
      </c>
    </row>
    <row r="120" spans="1:107" ht="12.75">
      <c r="A120">
        <f>ROW(Source!A85)</f>
        <v>85</v>
      </c>
      <c r="B120">
        <v>55468473</v>
      </c>
      <c r="C120">
        <v>55469270</v>
      </c>
      <c r="D120">
        <v>44976813</v>
      </c>
      <c r="E120">
        <v>1</v>
      </c>
      <c r="F120">
        <v>1</v>
      </c>
      <c r="G120">
        <v>1</v>
      </c>
      <c r="H120">
        <v>2</v>
      </c>
      <c r="I120" t="s">
        <v>325</v>
      </c>
      <c r="J120" t="s">
        <v>326</v>
      </c>
      <c r="K120" t="s">
        <v>327</v>
      </c>
      <c r="L120">
        <v>1368</v>
      </c>
      <c r="N120">
        <v>1011</v>
      </c>
      <c r="O120" t="s">
        <v>289</v>
      </c>
      <c r="P120" t="s">
        <v>289</v>
      </c>
      <c r="Q120">
        <v>1</v>
      </c>
      <c r="W120">
        <v>0</v>
      </c>
      <c r="X120">
        <v>2072184356</v>
      </c>
      <c r="Y120">
        <v>0.25</v>
      </c>
      <c r="AA120">
        <v>0</v>
      </c>
      <c r="AB120">
        <v>19684.09</v>
      </c>
      <c r="AC120">
        <v>530.93</v>
      </c>
      <c r="AD120">
        <v>0</v>
      </c>
      <c r="AE120">
        <v>0</v>
      </c>
      <c r="AF120">
        <v>1503.75</v>
      </c>
      <c r="AG120">
        <v>14.4</v>
      </c>
      <c r="AH120">
        <v>0</v>
      </c>
      <c r="AI120">
        <v>1</v>
      </c>
      <c r="AJ120">
        <v>13.09</v>
      </c>
      <c r="AK120">
        <v>36.87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0.1</v>
      </c>
      <c r="AU120" t="s">
        <v>145</v>
      </c>
      <c r="AV120">
        <v>0</v>
      </c>
      <c r="AW120">
        <v>2</v>
      </c>
      <c r="AX120">
        <v>55469286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Y120*Source!I85</f>
        <v>0.01125</v>
      </c>
      <c r="CY120">
        <f t="shared" si="39"/>
        <v>19684.09</v>
      </c>
      <c r="CZ120">
        <f t="shared" si="40"/>
        <v>1503.75</v>
      </c>
      <c r="DA120">
        <f t="shared" si="41"/>
        <v>13.09</v>
      </c>
      <c r="DB120">
        <f t="shared" si="37"/>
        <v>375.95</v>
      </c>
      <c r="DC120">
        <f t="shared" si="38"/>
        <v>3.6</v>
      </c>
    </row>
    <row r="121" spans="1:107" ht="12.75">
      <c r="A121">
        <f>ROW(Source!A85)</f>
        <v>85</v>
      </c>
      <c r="B121">
        <v>55468473</v>
      </c>
      <c r="C121">
        <v>55469270</v>
      </c>
      <c r="D121">
        <v>44976814</v>
      </c>
      <c r="E121">
        <v>1</v>
      </c>
      <c r="F121">
        <v>1</v>
      </c>
      <c r="G121">
        <v>1</v>
      </c>
      <c r="H121">
        <v>2</v>
      </c>
      <c r="I121" t="s">
        <v>328</v>
      </c>
      <c r="J121" t="s">
        <v>329</v>
      </c>
      <c r="K121" t="s">
        <v>330</v>
      </c>
      <c r="L121">
        <v>1368</v>
      </c>
      <c r="N121">
        <v>1011</v>
      </c>
      <c r="O121" t="s">
        <v>289</v>
      </c>
      <c r="P121" t="s">
        <v>289</v>
      </c>
      <c r="Q121">
        <v>1</v>
      </c>
      <c r="W121">
        <v>0</v>
      </c>
      <c r="X121">
        <v>-683120804</v>
      </c>
      <c r="Y121">
        <v>0.25</v>
      </c>
      <c r="AA121">
        <v>0</v>
      </c>
      <c r="AB121">
        <v>253.95</v>
      </c>
      <c r="AC121">
        <v>0</v>
      </c>
      <c r="AD121">
        <v>0</v>
      </c>
      <c r="AE121">
        <v>0</v>
      </c>
      <c r="AF121">
        <v>19.4</v>
      </c>
      <c r="AG121">
        <v>0</v>
      </c>
      <c r="AH121">
        <v>0</v>
      </c>
      <c r="AI121">
        <v>1</v>
      </c>
      <c r="AJ121">
        <v>13.09</v>
      </c>
      <c r="AK121">
        <v>36.87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0.1</v>
      </c>
      <c r="AU121" t="s">
        <v>145</v>
      </c>
      <c r="AV121">
        <v>0</v>
      </c>
      <c r="AW121">
        <v>2</v>
      </c>
      <c r="AX121">
        <v>55469287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Y121*Source!I85</f>
        <v>0.01125</v>
      </c>
      <c r="CY121">
        <f t="shared" si="39"/>
        <v>253.95</v>
      </c>
      <c r="CZ121">
        <f t="shared" si="40"/>
        <v>19.4</v>
      </c>
      <c r="DA121">
        <f t="shared" si="41"/>
        <v>13.09</v>
      </c>
      <c r="DB121">
        <f t="shared" si="37"/>
        <v>4.85</v>
      </c>
      <c r="DC121">
        <f t="shared" si="38"/>
        <v>0</v>
      </c>
    </row>
    <row r="122" spans="1:107" ht="12.75">
      <c r="A122">
        <f>ROW(Source!A85)</f>
        <v>85</v>
      </c>
      <c r="B122">
        <v>55468473</v>
      </c>
      <c r="C122">
        <v>55469270</v>
      </c>
      <c r="D122">
        <v>44977227</v>
      </c>
      <c r="E122">
        <v>1</v>
      </c>
      <c r="F122">
        <v>1</v>
      </c>
      <c r="G122">
        <v>1</v>
      </c>
      <c r="H122">
        <v>2</v>
      </c>
      <c r="I122" t="s">
        <v>254</v>
      </c>
      <c r="J122" t="s">
        <v>255</v>
      </c>
      <c r="K122" t="s">
        <v>256</v>
      </c>
      <c r="L122">
        <v>1368</v>
      </c>
      <c r="N122">
        <v>1011</v>
      </c>
      <c r="O122" t="s">
        <v>289</v>
      </c>
      <c r="P122" t="s">
        <v>289</v>
      </c>
      <c r="Q122">
        <v>1</v>
      </c>
      <c r="W122">
        <v>0</v>
      </c>
      <c r="X122">
        <v>-101166653</v>
      </c>
      <c r="Y122">
        <v>0.25</v>
      </c>
      <c r="AA122">
        <v>0</v>
      </c>
      <c r="AB122">
        <v>1439.9</v>
      </c>
      <c r="AC122">
        <v>427.69</v>
      </c>
      <c r="AD122">
        <v>0</v>
      </c>
      <c r="AE122">
        <v>0</v>
      </c>
      <c r="AF122">
        <v>110</v>
      </c>
      <c r="AG122">
        <v>11.6</v>
      </c>
      <c r="AH122">
        <v>0</v>
      </c>
      <c r="AI122">
        <v>1</v>
      </c>
      <c r="AJ122">
        <v>13.09</v>
      </c>
      <c r="AK122">
        <v>36.87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0.1</v>
      </c>
      <c r="AU122" t="s">
        <v>145</v>
      </c>
      <c r="AV122">
        <v>0</v>
      </c>
      <c r="AW122">
        <v>2</v>
      </c>
      <c r="AX122">
        <v>55469288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Y122*Source!I85</f>
        <v>0.01125</v>
      </c>
      <c r="CY122">
        <f t="shared" si="39"/>
        <v>1439.9</v>
      </c>
      <c r="CZ122">
        <f t="shared" si="40"/>
        <v>110</v>
      </c>
      <c r="DA122">
        <f t="shared" si="41"/>
        <v>13.09</v>
      </c>
      <c r="DB122">
        <f t="shared" si="37"/>
        <v>27.5</v>
      </c>
      <c r="DC122">
        <f t="shared" si="38"/>
        <v>2.9</v>
      </c>
    </row>
    <row r="123" spans="1:107" ht="12.75">
      <c r="A123">
        <f>ROW(Source!A85)</f>
        <v>85</v>
      </c>
      <c r="B123">
        <v>55468473</v>
      </c>
      <c r="C123">
        <v>55469270</v>
      </c>
      <c r="D123">
        <v>44977523</v>
      </c>
      <c r="E123">
        <v>1</v>
      </c>
      <c r="F123">
        <v>1</v>
      </c>
      <c r="G123">
        <v>1</v>
      </c>
      <c r="H123">
        <v>2</v>
      </c>
      <c r="I123" t="s">
        <v>334</v>
      </c>
      <c r="J123" t="s">
        <v>335</v>
      </c>
      <c r="K123" t="s">
        <v>336</v>
      </c>
      <c r="L123">
        <v>1368</v>
      </c>
      <c r="N123">
        <v>1011</v>
      </c>
      <c r="O123" t="s">
        <v>289</v>
      </c>
      <c r="P123" t="s">
        <v>289</v>
      </c>
      <c r="Q123">
        <v>1</v>
      </c>
      <c r="W123">
        <v>0</v>
      </c>
      <c r="X123">
        <v>-1427538762</v>
      </c>
      <c r="Y123">
        <v>0.15</v>
      </c>
      <c r="AA123">
        <v>0</v>
      </c>
      <c r="AB123">
        <v>2659.89</v>
      </c>
      <c r="AC123">
        <v>370.91</v>
      </c>
      <c r="AD123">
        <v>0</v>
      </c>
      <c r="AE123">
        <v>0</v>
      </c>
      <c r="AF123">
        <v>203.2</v>
      </c>
      <c r="AG123">
        <v>10.06</v>
      </c>
      <c r="AH123">
        <v>0</v>
      </c>
      <c r="AI123">
        <v>1</v>
      </c>
      <c r="AJ123">
        <v>13.09</v>
      </c>
      <c r="AK123">
        <v>36.87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0.06</v>
      </c>
      <c r="AU123" t="s">
        <v>145</v>
      </c>
      <c r="AV123">
        <v>0</v>
      </c>
      <c r="AW123">
        <v>2</v>
      </c>
      <c r="AX123">
        <v>55469289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Y123*Source!I85</f>
        <v>0.00675</v>
      </c>
      <c r="CY123">
        <f t="shared" si="39"/>
        <v>2659.89</v>
      </c>
      <c r="CZ123">
        <f t="shared" si="40"/>
        <v>203.2</v>
      </c>
      <c r="DA123">
        <f t="shared" si="41"/>
        <v>13.09</v>
      </c>
      <c r="DB123">
        <f t="shared" si="37"/>
        <v>30.48</v>
      </c>
      <c r="DC123">
        <f t="shared" si="38"/>
        <v>1.5</v>
      </c>
    </row>
    <row r="124" spans="1:107" ht="12.75">
      <c r="A124">
        <f>ROW(Source!A85)</f>
        <v>85</v>
      </c>
      <c r="B124">
        <v>55468473</v>
      </c>
      <c r="C124">
        <v>55469270</v>
      </c>
      <c r="D124">
        <v>44810508</v>
      </c>
      <c r="E124">
        <v>1</v>
      </c>
      <c r="F124">
        <v>1</v>
      </c>
      <c r="G124">
        <v>1</v>
      </c>
      <c r="H124">
        <v>3</v>
      </c>
      <c r="I124" t="s">
        <v>337</v>
      </c>
      <c r="J124" t="s">
        <v>338</v>
      </c>
      <c r="K124" t="s">
        <v>339</v>
      </c>
      <c r="L124">
        <v>1348</v>
      </c>
      <c r="N124">
        <v>1009</v>
      </c>
      <c r="O124" t="s">
        <v>138</v>
      </c>
      <c r="P124" t="s">
        <v>138</v>
      </c>
      <c r="Q124">
        <v>1000</v>
      </c>
      <c r="W124">
        <v>0</v>
      </c>
      <c r="X124">
        <v>-174182251</v>
      </c>
      <c r="Y124">
        <v>0.002</v>
      </c>
      <c r="AA124">
        <v>10335.43</v>
      </c>
      <c r="AB124">
        <v>0</v>
      </c>
      <c r="AC124">
        <v>0</v>
      </c>
      <c r="AD124">
        <v>0</v>
      </c>
      <c r="AE124">
        <v>1554.2</v>
      </c>
      <c r="AF124">
        <v>0</v>
      </c>
      <c r="AG124">
        <v>0</v>
      </c>
      <c r="AH124">
        <v>0</v>
      </c>
      <c r="AI124">
        <v>6.65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0.001</v>
      </c>
      <c r="AU124" t="s">
        <v>144</v>
      </c>
      <c r="AV124">
        <v>0</v>
      </c>
      <c r="AW124">
        <v>2</v>
      </c>
      <c r="AX124">
        <v>55469290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Y124*Source!I85</f>
        <v>8.999999999999999E-05</v>
      </c>
      <c r="CY124">
        <f>AA124</f>
        <v>10335.43</v>
      </c>
      <c r="CZ124">
        <f>AE124</f>
        <v>1554.2</v>
      </c>
      <c r="DA124">
        <f>AI124</f>
        <v>6.65</v>
      </c>
      <c r="DB124">
        <f>ROUND((ROUND(AT124*CZ124,2)*ROUND(2,7)),2)</f>
        <v>3.1</v>
      </c>
      <c r="DC124">
        <f>ROUND((ROUND(AT124*AG124,2)*ROUND(2,7)),2)</f>
        <v>0</v>
      </c>
    </row>
    <row r="125" spans="1:107" ht="12.75">
      <c r="A125">
        <f>ROW(Source!A85)</f>
        <v>85</v>
      </c>
      <c r="B125">
        <v>55468473</v>
      </c>
      <c r="C125">
        <v>55469270</v>
      </c>
      <c r="D125">
        <v>44812338</v>
      </c>
      <c r="E125">
        <v>1</v>
      </c>
      <c r="F125">
        <v>1</v>
      </c>
      <c r="G125">
        <v>1</v>
      </c>
      <c r="H125">
        <v>3</v>
      </c>
      <c r="I125" t="s">
        <v>340</v>
      </c>
      <c r="J125" t="s">
        <v>341</v>
      </c>
      <c r="K125" t="s">
        <v>342</v>
      </c>
      <c r="L125">
        <v>1339</v>
      </c>
      <c r="N125">
        <v>1007</v>
      </c>
      <c r="O125" t="s">
        <v>269</v>
      </c>
      <c r="P125" t="s">
        <v>269</v>
      </c>
      <c r="Q125">
        <v>1</v>
      </c>
      <c r="W125">
        <v>0</v>
      </c>
      <c r="X125">
        <v>-771516631</v>
      </c>
      <c r="Y125">
        <v>0.88</v>
      </c>
      <c r="AA125">
        <v>20.95</v>
      </c>
      <c r="AB125">
        <v>0</v>
      </c>
      <c r="AC125">
        <v>0</v>
      </c>
      <c r="AD125">
        <v>0</v>
      </c>
      <c r="AE125">
        <v>3.15</v>
      </c>
      <c r="AF125">
        <v>0</v>
      </c>
      <c r="AG125">
        <v>0</v>
      </c>
      <c r="AH125">
        <v>0</v>
      </c>
      <c r="AI125">
        <v>6.65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0.44</v>
      </c>
      <c r="AU125" t="s">
        <v>144</v>
      </c>
      <c r="AV125">
        <v>0</v>
      </c>
      <c r="AW125">
        <v>2</v>
      </c>
      <c r="AX125">
        <v>55469291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Y125*Source!I85</f>
        <v>0.039599999999999996</v>
      </c>
      <c r="CY125">
        <f>AA125</f>
        <v>20.95</v>
      </c>
      <c r="CZ125">
        <f>AE125</f>
        <v>3.15</v>
      </c>
      <c r="DA125">
        <f>AI125</f>
        <v>6.65</v>
      </c>
      <c r="DB125">
        <f>ROUND((ROUND(AT125*CZ125,2)*ROUND(2,7)),2)</f>
        <v>2.78</v>
      </c>
      <c r="DC125">
        <f>ROUND((ROUND(AT125*AG125,2)*ROUND(2,7)),2)</f>
        <v>0</v>
      </c>
    </row>
    <row r="126" spans="1:107" ht="12.75">
      <c r="A126">
        <f>ROW(Source!A85)</f>
        <v>85</v>
      </c>
      <c r="B126">
        <v>55468473</v>
      </c>
      <c r="C126">
        <v>55469270</v>
      </c>
      <c r="D126">
        <v>44818493</v>
      </c>
      <c r="E126">
        <v>1</v>
      </c>
      <c r="F126">
        <v>1</v>
      </c>
      <c r="G126">
        <v>1</v>
      </c>
      <c r="H126">
        <v>3</v>
      </c>
      <c r="I126" t="s">
        <v>136</v>
      </c>
      <c r="J126" t="s">
        <v>139</v>
      </c>
      <c r="K126" t="s">
        <v>137</v>
      </c>
      <c r="L126">
        <v>1348</v>
      </c>
      <c r="N126">
        <v>1009</v>
      </c>
      <c r="O126" t="s">
        <v>138</v>
      </c>
      <c r="P126" t="s">
        <v>138</v>
      </c>
      <c r="Q126">
        <v>1000</v>
      </c>
      <c r="W126">
        <v>0</v>
      </c>
      <c r="X126">
        <v>783068224</v>
      </c>
      <c r="Y126">
        <v>24.933333</v>
      </c>
      <c r="AA126">
        <v>3192</v>
      </c>
      <c r="AB126">
        <v>0</v>
      </c>
      <c r="AC126">
        <v>0</v>
      </c>
      <c r="AD126">
        <v>0</v>
      </c>
      <c r="AE126">
        <v>480</v>
      </c>
      <c r="AF126">
        <v>0</v>
      </c>
      <c r="AG126">
        <v>0</v>
      </c>
      <c r="AH126">
        <v>0</v>
      </c>
      <c r="AI126">
        <v>6.65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T126">
        <v>24.933333</v>
      </c>
      <c r="AV126">
        <v>0</v>
      </c>
      <c r="AW126">
        <v>1</v>
      </c>
      <c r="AX126">
        <v>-1</v>
      </c>
      <c r="AY126">
        <v>0</v>
      </c>
      <c r="AZ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Y126*Source!I85</f>
        <v>1.121999985</v>
      </c>
      <c r="CY126">
        <f>AA126</f>
        <v>3192</v>
      </c>
      <c r="CZ126">
        <f>AE126</f>
        <v>480</v>
      </c>
      <c r="DA126">
        <f>AI126</f>
        <v>6.65</v>
      </c>
      <c r="DB126">
        <f>ROUND(ROUND(AT126*CZ126,2),2)</f>
        <v>11968</v>
      </c>
      <c r="DC126">
        <f>ROUND(ROUND(AT126*AG126,2),2)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1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55655305</v>
      </c>
      <c r="C1">
        <v>55655290</v>
      </c>
      <c r="D1">
        <v>37822887</v>
      </c>
      <c r="E1">
        <v>70</v>
      </c>
      <c r="F1">
        <v>1</v>
      </c>
      <c r="G1">
        <v>1</v>
      </c>
      <c r="H1">
        <v>1</v>
      </c>
      <c r="I1" t="s">
        <v>243</v>
      </c>
      <c r="K1" t="s">
        <v>244</v>
      </c>
      <c r="L1">
        <v>1191</v>
      </c>
      <c r="N1">
        <v>1013</v>
      </c>
      <c r="O1" t="s">
        <v>245</v>
      </c>
      <c r="P1" t="s">
        <v>245</v>
      </c>
      <c r="Q1">
        <v>1</v>
      </c>
      <c r="X1">
        <v>21.89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28</v>
      </c>
      <c r="AG1">
        <v>25.173499999999997</v>
      </c>
      <c r="AH1">
        <v>2</v>
      </c>
      <c r="AI1">
        <v>55655291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55655306</v>
      </c>
      <c r="C2">
        <v>55655290</v>
      </c>
      <c r="D2">
        <v>37822850</v>
      </c>
      <c r="E2">
        <v>70</v>
      </c>
      <c r="F2">
        <v>1</v>
      </c>
      <c r="G2">
        <v>1</v>
      </c>
      <c r="H2">
        <v>1</v>
      </c>
      <c r="I2" t="s">
        <v>246</v>
      </c>
      <c r="K2" t="s">
        <v>247</v>
      </c>
      <c r="L2">
        <v>1191</v>
      </c>
      <c r="N2">
        <v>1013</v>
      </c>
      <c r="O2" t="s">
        <v>245</v>
      </c>
      <c r="P2" t="s">
        <v>245</v>
      </c>
      <c r="Q2">
        <v>1</v>
      </c>
      <c r="X2">
        <v>4.52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27</v>
      </c>
      <c r="AG2">
        <v>5.6499999999999995</v>
      </c>
      <c r="AH2">
        <v>2</v>
      </c>
      <c r="AI2">
        <v>55655292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55655307</v>
      </c>
      <c r="C3">
        <v>55655290</v>
      </c>
      <c r="D3">
        <v>53792151</v>
      </c>
      <c r="E3">
        <v>1</v>
      </c>
      <c r="F3">
        <v>1</v>
      </c>
      <c r="G3">
        <v>1</v>
      </c>
      <c r="H3">
        <v>2</v>
      </c>
      <c r="I3" t="s">
        <v>39</v>
      </c>
      <c r="J3" t="s">
        <v>42</v>
      </c>
      <c r="K3" t="s">
        <v>40</v>
      </c>
      <c r="L3">
        <v>1367</v>
      </c>
      <c r="N3">
        <v>1011</v>
      </c>
      <c r="O3" t="s">
        <v>41</v>
      </c>
      <c r="P3" t="s">
        <v>41</v>
      </c>
      <c r="Q3">
        <v>1</v>
      </c>
      <c r="X3">
        <v>0.13</v>
      </c>
      <c r="Y3">
        <v>0</v>
      </c>
      <c r="Z3">
        <v>89.99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27</v>
      </c>
      <c r="AG3">
        <v>0.1625</v>
      </c>
      <c r="AH3">
        <v>2</v>
      </c>
      <c r="AI3">
        <v>55655293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55655308</v>
      </c>
      <c r="C4">
        <v>55655290</v>
      </c>
      <c r="D4">
        <v>53792398</v>
      </c>
      <c r="E4">
        <v>1</v>
      </c>
      <c r="F4">
        <v>1</v>
      </c>
      <c r="G4">
        <v>1</v>
      </c>
      <c r="H4">
        <v>2</v>
      </c>
      <c r="I4" t="s">
        <v>44</v>
      </c>
      <c r="J4" t="s">
        <v>46</v>
      </c>
      <c r="K4" t="s">
        <v>45</v>
      </c>
      <c r="L4">
        <v>1367</v>
      </c>
      <c r="N4">
        <v>1011</v>
      </c>
      <c r="O4" t="s">
        <v>41</v>
      </c>
      <c r="P4" t="s">
        <v>41</v>
      </c>
      <c r="Q4">
        <v>1</v>
      </c>
      <c r="X4">
        <v>0.6</v>
      </c>
      <c r="Y4">
        <v>0</v>
      </c>
      <c r="Z4">
        <v>30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27</v>
      </c>
      <c r="AG4">
        <v>0.75</v>
      </c>
      <c r="AH4">
        <v>2</v>
      </c>
      <c r="AI4">
        <v>55655294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55655309</v>
      </c>
      <c r="C5">
        <v>55655290</v>
      </c>
      <c r="D5">
        <v>53792440</v>
      </c>
      <c r="E5">
        <v>1</v>
      </c>
      <c r="F5">
        <v>1</v>
      </c>
      <c r="G5">
        <v>1</v>
      </c>
      <c r="H5">
        <v>2</v>
      </c>
      <c r="I5" t="s">
        <v>248</v>
      </c>
      <c r="J5" t="s">
        <v>249</v>
      </c>
      <c r="K5" t="s">
        <v>250</v>
      </c>
      <c r="L5">
        <v>1367</v>
      </c>
      <c r="N5">
        <v>1011</v>
      </c>
      <c r="O5" t="s">
        <v>41</v>
      </c>
      <c r="P5" t="s">
        <v>41</v>
      </c>
      <c r="Q5">
        <v>1</v>
      </c>
      <c r="X5">
        <v>8.36</v>
      </c>
      <c r="Y5">
        <v>0</v>
      </c>
      <c r="Z5">
        <v>60.89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27</v>
      </c>
      <c r="AG5">
        <v>10.45</v>
      </c>
      <c r="AH5">
        <v>2</v>
      </c>
      <c r="AI5">
        <v>55655295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55655310</v>
      </c>
      <c r="C6">
        <v>55655290</v>
      </c>
      <c r="D6">
        <v>53792491</v>
      </c>
      <c r="E6">
        <v>1</v>
      </c>
      <c r="F6">
        <v>1</v>
      </c>
      <c r="G6">
        <v>1</v>
      </c>
      <c r="H6">
        <v>2</v>
      </c>
      <c r="I6" t="s">
        <v>251</v>
      </c>
      <c r="J6" t="s">
        <v>252</v>
      </c>
      <c r="K6" t="s">
        <v>253</v>
      </c>
      <c r="L6">
        <v>1367</v>
      </c>
      <c r="N6">
        <v>1011</v>
      </c>
      <c r="O6" t="s">
        <v>41</v>
      </c>
      <c r="P6" t="s">
        <v>41</v>
      </c>
      <c r="Q6">
        <v>1</v>
      </c>
      <c r="X6">
        <v>3.25</v>
      </c>
      <c r="Y6">
        <v>0</v>
      </c>
      <c r="Z6">
        <v>175.25</v>
      </c>
      <c r="AA6">
        <v>11.6</v>
      </c>
      <c r="AB6">
        <v>0</v>
      </c>
      <c r="AC6">
        <v>0</v>
      </c>
      <c r="AD6">
        <v>1</v>
      </c>
      <c r="AE6">
        <v>0</v>
      </c>
      <c r="AF6" t="s">
        <v>27</v>
      </c>
      <c r="AG6">
        <v>4.0625</v>
      </c>
      <c r="AH6">
        <v>2</v>
      </c>
      <c r="AI6">
        <v>55655296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55655311</v>
      </c>
      <c r="C7">
        <v>55655290</v>
      </c>
      <c r="D7">
        <v>53792874</v>
      </c>
      <c r="E7">
        <v>1</v>
      </c>
      <c r="F7">
        <v>1</v>
      </c>
      <c r="G7">
        <v>1</v>
      </c>
      <c r="H7">
        <v>2</v>
      </c>
      <c r="I7" t="s">
        <v>254</v>
      </c>
      <c r="J7" t="s">
        <v>255</v>
      </c>
      <c r="K7" t="s">
        <v>256</v>
      </c>
      <c r="L7">
        <v>1367</v>
      </c>
      <c r="N7">
        <v>1011</v>
      </c>
      <c r="O7" t="s">
        <v>41</v>
      </c>
      <c r="P7" t="s">
        <v>41</v>
      </c>
      <c r="Q7">
        <v>1</v>
      </c>
      <c r="X7">
        <v>0.92</v>
      </c>
      <c r="Y7">
        <v>0</v>
      </c>
      <c r="Z7">
        <v>110</v>
      </c>
      <c r="AA7">
        <v>11.6</v>
      </c>
      <c r="AB7">
        <v>0</v>
      </c>
      <c r="AC7">
        <v>0</v>
      </c>
      <c r="AD7">
        <v>1</v>
      </c>
      <c r="AE7">
        <v>0</v>
      </c>
      <c r="AF7" t="s">
        <v>27</v>
      </c>
      <c r="AG7">
        <v>1.1500000000000001</v>
      </c>
      <c r="AH7">
        <v>2</v>
      </c>
      <c r="AI7">
        <v>55655297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55655312</v>
      </c>
      <c r="C8">
        <v>55655290</v>
      </c>
      <c r="D8">
        <v>53792927</v>
      </c>
      <c r="E8">
        <v>1</v>
      </c>
      <c r="F8">
        <v>1</v>
      </c>
      <c r="G8">
        <v>1</v>
      </c>
      <c r="H8">
        <v>2</v>
      </c>
      <c r="I8" t="s">
        <v>257</v>
      </c>
      <c r="J8" t="s">
        <v>258</v>
      </c>
      <c r="K8" t="s">
        <v>259</v>
      </c>
      <c r="L8">
        <v>1367</v>
      </c>
      <c r="N8">
        <v>1011</v>
      </c>
      <c r="O8" t="s">
        <v>41</v>
      </c>
      <c r="P8" t="s">
        <v>41</v>
      </c>
      <c r="Q8">
        <v>1</v>
      </c>
      <c r="X8">
        <v>0.03</v>
      </c>
      <c r="Y8">
        <v>0</v>
      </c>
      <c r="Z8">
        <v>65.71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27</v>
      </c>
      <c r="AG8">
        <v>0.0375</v>
      </c>
      <c r="AH8">
        <v>2</v>
      </c>
      <c r="AI8">
        <v>55655298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55655313</v>
      </c>
      <c r="C9">
        <v>55655290</v>
      </c>
      <c r="D9">
        <v>53793153</v>
      </c>
      <c r="E9">
        <v>1</v>
      </c>
      <c r="F9">
        <v>1</v>
      </c>
      <c r="G9">
        <v>1</v>
      </c>
      <c r="H9">
        <v>2</v>
      </c>
      <c r="I9" t="s">
        <v>48</v>
      </c>
      <c r="J9" t="s">
        <v>50</v>
      </c>
      <c r="K9" t="s">
        <v>49</v>
      </c>
      <c r="L9">
        <v>1367</v>
      </c>
      <c r="N9">
        <v>1011</v>
      </c>
      <c r="O9" t="s">
        <v>41</v>
      </c>
      <c r="P9" t="s">
        <v>41</v>
      </c>
      <c r="Q9">
        <v>1</v>
      </c>
      <c r="X9">
        <v>0.19</v>
      </c>
      <c r="Y9">
        <v>0</v>
      </c>
      <c r="Z9">
        <v>90</v>
      </c>
      <c r="AA9">
        <v>10.06</v>
      </c>
      <c r="AB9">
        <v>0</v>
      </c>
      <c r="AC9">
        <v>0</v>
      </c>
      <c r="AD9">
        <v>1</v>
      </c>
      <c r="AE9">
        <v>0</v>
      </c>
      <c r="AF9" t="s">
        <v>27</v>
      </c>
      <c r="AG9">
        <v>0.2375</v>
      </c>
      <c r="AH9">
        <v>2</v>
      </c>
      <c r="AI9">
        <v>55655299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55655314</v>
      </c>
      <c r="C10">
        <v>55655290</v>
      </c>
      <c r="D10">
        <v>53640649</v>
      </c>
      <c r="E10">
        <v>1</v>
      </c>
      <c r="F10">
        <v>1</v>
      </c>
      <c r="G10">
        <v>1</v>
      </c>
      <c r="H10">
        <v>3</v>
      </c>
      <c r="I10" t="s">
        <v>260</v>
      </c>
      <c r="J10" t="s">
        <v>261</v>
      </c>
      <c r="K10" t="s">
        <v>262</v>
      </c>
      <c r="L10">
        <v>1348</v>
      </c>
      <c r="N10">
        <v>1009</v>
      </c>
      <c r="O10" t="s">
        <v>138</v>
      </c>
      <c r="P10" t="s">
        <v>138</v>
      </c>
      <c r="Q10">
        <v>1000</v>
      </c>
      <c r="X10">
        <v>0.01</v>
      </c>
      <c r="Y10">
        <v>1690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0.01</v>
      </c>
      <c r="AH10">
        <v>2</v>
      </c>
      <c r="AI10">
        <v>55655300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55655315</v>
      </c>
      <c r="C11">
        <v>55655290</v>
      </c>
      <c r="D11">
        <v>53640725</v>
      </c>
      <c r="E11">
        <v>1</v>
      </c>
      <c r="F11">
        <v>1</v>
      </c>
      <c r="G11">
        <v>1</v>
      </c>
      <c r="H11">
        <v>3</v>
      </c>
      <c r="I11" t="s">
        <v>263</v>
      </c>
      <c r="J11" t="s">
        <v>264</v>
      </c>
      <c r="K11" t="s">
        <v>265</v>
      </c>
      <c r="L11">
        <v>1348</v>
      </c>
      <c r="N11">
        <v>1009</v>
      </c>
      <c r="O11" t="s">
        <v>138</v>
      </c>
      <c r="P11" t="s">
        <v>138</v>
      </c>
      <c r="Q11">
        <v>1000</v>
      </c>
      <c r="X11">
        <v>0.07</v>
      </c>
      <c r="Y11">
        <v>1500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0.07</v>
      </c>
      <c r="AH11">
        <v>2</v>
      </c>
      <c r="AI11">
        <v>55655301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55655316</v>
      </c>
      <c r="C12">
        <v>55655290</v>
      </c>
      <c r="D12">
        <v>53642555</v>
      </c>
      <c r="E12">
        <v>1</v>
      </c>
      <c r="F12">
        <v>1</v>
      </c>
      <c r="G12">
        <v>1</v>
      </c>
      <c r="H12">
        <v>3</v>
      </c>
      <c r="I12" t="s">
        <v>266</v>
      </c>
      <c r="J12" t="s">
        <v>267</v>
      </c>
      <c r="K12" t="s">
        <v>268</v>
      </c>
      <c r="L12">
        <v>1339</v>
      </c>
      <c r="N12">
        <v>1007</v>
      </c>
      <c r="O12" t="s">
        <v>269</v>
      </c>
      <c r="P12" t="s">
        <v>269</v>
      </c>
      <c r="Q12">
        <v>1</v>
      </c>
      <c r="X12">
        <v>3.5</v>
      </c>
      <c r="Y12">
        <v>2.44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3.5</v>
      </c>
      <c r="AH12">
        <v>2</v>
      </c>
      <c r="AI12">
        <v>55655302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55655317</v>
      </c>
      <c r="C13">
        <v>55655290</v>
      </c>
      <c r="D13">
        <v>53643153</v>
      </c>
      <c r="E13">
        <v>1</v>
      </c>
      <c r="F13">
        <v>1</v>
      </c>
      <c r="G13">
        <v>1</v>
      </c>
      <c r="H13">
        <v>3</v>
      </c>
      <c r="I13" t="s">
        <v>270</v>
      </c>
      <c r="J13" t="s">
        <v>271</v>
      </c>
      <c r="K13" t="s">
        <v>272</v>
      </c>
      <c r="L13">
        <v>1302</v>
      </c>
      <c r="N13">
        <v>1003</v>
      </c>
      <c r="O13" t="s">
        <v>273</v>
      </c>
      <c r="P13" t="s">
        <v>273</v>
      </c>
      <c r="Q13">
        <v>10</v>
      </c>
      <c r="X13">
        <v>10</v>
      </c>
      <c r="Y13">
        <v>16.8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10</v>
      </c>
      <c r="AH13">
        <v>2</v>
      </c>
      <c r="AI13">
        <v>55655303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ROW(Source!A28)</f>
        <v>28</v>
      </c>
      <c r="B14">
        <v>55655318</v>
      </c>
      <c r="C14">
        <v>55655290</v>
      </c>
      <c r="D14">
        <v>53646859</v>
      </c>
      <c r="E14">
        <v>1</v>
      </c>
      <c r="F14">
        <v>1</v>
      </c>
      <c r="G14">
        <v>1</v>
      </c>
      <c r="H14">
        <v>3</v>
      </c>
      <c r="I14" t="s">
        <v>274</v>
      </c>
      <c r="J14" t="s">
        <v>275</v>
      </c>
      <c r="K14" t="s">
        <v>276</v>
      </c>
      <c r="L14">
        <v>1339</v>
      </c>
      <c r="N14">
        <v>1007</v>
      </c>
      <c r="O14" t="s">
        <v>269</v>
      </c>
      <c r="P14" t="s">
        <v>269</v>
      </c>
      <c r="Q14">
        <v>1</v>
      </c>
      <c r="X14">
        <v>2</v>
      </c>
      <c r="Y14">
        <v>59.99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2</v>
      </c>
      <c r="AH14">
        <v>2</v>
      </c>
      <c r="AI14">
        <v>55655304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55655305</v>
      </c>
      <c r="C15">
        <v>55655290</v>
      </c>
      <c r="D15">
        <v>37822887</v>
      </c>
      <c r="E15">
        <v>70</v>
      </c>
      <c r="F15">
        <v>1</v>
      </c>
      <c r="G15">
        <v>1</v>
      </c>
      <c r="H15">
        <v>1</v>
      </c>
      <c r="I15" t="s">
        <v>243</v>
      </c>
      <c r="K15" t="s">
        <v>244</v>
      </c>
      <c r="L15">
        <v>1191</v>
      </c>
      <c r="N15">
        <v>1013</v>
      </c>
      <c r="O15" t="s">
        <v>245</v>
      </c>
      <c r="P15" t="s">
        <v>245</v>
      </c>
      <c r="Q15">
        <v>1</v>
      </c>
      <c r="X15">
        <v>21.89</v>
      </c>
      <c r="Y15">
        <v>0</v>
      </c>
      <c r="Z15">
        <v>0</v>
      </c>
      <c r="AA15">
        <v>0</v>
      </c>
      <c r="AB15">
        <v>8.17</v>
      </c>
      <c r="AC15">
        <v>0</v>
      </c>
      <c r="AD15">
        <v>1</v>
      </c>
      <c r="AE15">
        <v>1</v>
      </c>
      <c r="AF15" t="s">
        <v>28</v>
      </c>
      <c r="AG15">
        <v>25.173499999999997</v>
      </c>
      <c r="AH15">
        <v>2</v>
      </c>
      <c r="AI15">
        <v>55655291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55655306</v>
      </c>
      <c r="C16">
        <v>55655290</v>
      </c>
      <c r="D16">
        <v>37822850</v>
      </c>
      <c r="E16">
        <v>70</v>
      </c>
      <c r="F16">
        <v>1</v>
      </c>
      <c r="G16">
        <v>1</v>
      </c>
      <c r="H16">
        <v>1</v>
      </c>
      <c r="I16" t="s">
        <v>246</v>
      </c>
      <c r="K16" t="s">
        <v>247</v>
      </c>
      <c r="L16">
        <v>1191</v>
      </c>
      <c r="N16">
        <v>1013</v>
      </c>
      <c r="O16" t="s">
        <v>245</v>
      </c>
      <c r="P16" t="s">
        <v>245</v>
      </c>
      <c r="Q16">
        <v>1</v>
      </c>
      <c r="X16">
        <v>4.52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F16" t="s">
        <v>27</v>
      </c>
      <c r="AG16">
        <v>5.6499999999999995</v>
      </c>
      <c r="AH16">
        <v>2</v>
      </c>
      <c r="AI16">
        <v>55655292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55655307</v>
      </c>
      <c r="C17">
        <v>55655290</v>
      </c>
      <c r="D17">
        <v>53792151</v>
      </c>
      <c r="E17">
        <v>1</v>
      </c>
      <c r="F17">
        <v>1</v>
      </c>
      <c r="G17">
        <v>1</v>
      </c>
      <c r="H17">
        <v>2</v>
      </c>
      <c r="I17" t="s">
        <v>39</v>
      </c>
      <c r="J17" t="s">
        <v>42</v>
      </c>
      <c r="K17" t="s">
        <v>40</v>
      </c>
      <c r="L17">
        <v>1367</v>
      </c>
      <c r="N17">
        <v>1011</v>
      </c>
      <c r="O17" t="s">
        <v>41</v>
      </c>
      <c r="P17" t="s">
        <v>41</v>
      </c>
      <c r="Q17">
        <v>1</v>
      </c>
      <c r="X17">
        <v>0.13</v>
      </c>
      <c r="Y17">
        <v>0</v>
      </c>
      <c r="Z17">
        <v>89.99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27</v>
      </c>
      <c r="AG17">
        <v>0.1625</v>
      </c>
      <c r="AH17">
        <v>2</v>
      </c>
      <c r="AI17">
        <v>55655293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55655308</v>
      </c>
      <c r="C18">
        <v>55655290</v>
      </c>
      <c r="D18">
        <v>53792398</v>
      </c>
      <c r="E18">
        <v>1</v>
      </c>
      <c r="F18">
        <v>1</v>
      </c>
      <c r="G18">
        <v>1</v>
      </c>
      <c r="H18">
        <v>2</v>
      </c>
      <c r="I18" t="s">
        <v>44</v>
      </c>
      <c r="J18" t="s">
        <v>46</v>
      </c>
      <c r="K18" t="s">
        <v>45</v>
      </c>
      <c r="L18">
        <v>1367</v>
      </c>
      <c r="N18">
        <v>1011</v>
      </c>
      <c r="O18" t="s">
        <v>41</v>
      </c>
      <c r="P18" t="s">
        <v>41</v>
      </c>
      <c r="Q18">
        <v>1</v>
      </c>
      <c r="X18">
        <v>0.6</v>
      </c>
      <c r="Y18">
        <v>0</v>
      </c>
      <c r="Z18">
        <v>30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27</v>
      </c>
      <c r="AG18">
        <v>0.75</v>
      </c>
      <c r="AH18">
        <v>2</v>
      </c>
      <c r="AI18">
        <v>55655294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55655309</v>
      </c>
      <c r="C19">
        <v>55655290</v>
      </c>
      <c r="D19">
        <v>53792440</v>
      </c>
      <c r="E19">
        <v>1</v>
      </c>
      <c r="F19">
        <v>1</v>
      </c>
      <c r="G19">
        <v>1</v>
      </c>
      <c r="H19">
        <v>2</v>
      </c>
      <c r="I19" t="s">
        <v>248</v>
      </c>
      <c r="J19" t="s">
        <v>249</v>
      </c>
      <c r="K19" t="s">
        <v>250</v>
      </c>
      <c r="L19">
        <v>1367</v>
      </c>
      <c r="N19">
        <v>1011</v>
      </c>
      <c r="O19" t="s">
        <v>41</v>
      </c>
      <c r="P19" t="s">
        <v>41</v>
      </c>
      <c r="Q19">
        <v>1</v>
      </c>
      <c r="X19">
        <v>8.36</v>
      </c>
      <c r="Y19">
        <v>0</v>
      </c>
      <c r="Z19">
        <v>60.89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27</v>
      </c>
      <c r="AG19">
        <v>10.45</v>
      </c>
      <c r="AH19">
        <v>2</v>
      </c>
      <c r="AI19">
        <v>55655295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55655310</v>
      </c>
      <c r="C20">
        <v>55655290</v>
      </c>
      <c r="D20">
        <v>53792491</v>
      </c>
      <c r="E20">
        <v>1</v>
      </c>
      <c r="F20">
        <v>1</v>
      </c>
      <c r="G20">
        <v>1</v>
      </c>
      <c r="H20">
        <v>2</v>
      </c>
      <c r="I20" t="s">
        <v>251</v>
      </c>
      <c r="J20" t="s">
        <v>252</v>
      </c>
      <c r="K20" t="s">
        <v>253</v>
      </c>
      <c r="L20">
        <v>1367</v>
      </c>
      <c r="N20">
        <v>1011</v>
      </c>
      <c r="O20" t="s">
        <v>41</v>
      </c>
      <c r="P20" t="s">
        <v>41</v>
      </c>
      <c r="Q20">
        <v>1</v>
      </c>
      <c r="X20">
        <v>3.25</v>
      </c>
      <c r="Y20">
        <v>0</v>
      </c>
      <c r="Z20">
        <v>175.25</v>
      </c>
      <c r="AA20">
        <v>11.6</v>
      </c>
      <c r="AB20">
        <v>0</v>
      </c>
      <c r="AC20">
        <v>0</v>
      </c>
      <c r="AD20">
        <v>1</v>
      </c>
      <c r="AE20">
        <v>0</v>
      </c>
      <c r="AF20" t="s">
        <v>27</v>
      </c>
      <c r="AG20">
        <v>4.0625</v>
      </c>
      <c r="AH20">
        <v>2</v>
      </c>
      <c r="AI20">
        <v>55655296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55655311</v>
      </c>
      <c r="C21">
        <v>55655290</v>
      </c>
      <c r="D21">
        <v>53792874</v>
      </c>
      <c r="E21">
        <v>1</v>
      </c>
      <c r="F21">
        <v>1</v>
      </c>
      <c r="G21">
        <v>1</v>
      </c>
      <c r="H21">
        <v>2</v>
      </c>
      <c r="I21" t="s">
        <v>254</v>
      </c>
      <c r="J21" t="s">
        <v>255</v>
      </c>
      <c r="K21" t="s">
        <v>256</v>
      </c>
      <c r="L21">
        <v>1367</v>
      </c>
      <c r="N21">
        <v>1011</v>
      </c>
      <c r="O21" t="s">
        <v>41</v>
      </c>
      <c r="P21" t="s">
        <v>41</v>
      </c>
      <c r="Q21">
        <v>1</v>
      </c>
      <c r="X21">
        <v>0.92</v>
      </c>
      <c r="Y21">
        <v>0</v>
      </c>
      <c r="Z21">
        <v>110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27</v>
      </c>
      <c r="AG21">
        <v>1.1500000000000001</v>
      </c>
      <c r="AH21">
        <v>2</v>
      </c>
      <c r="AI21">
        <v>55655297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55655312</v>
      </c>
      <c r="C22">
        <v>55655290</v>
      </c>
      <c r="D22">
        <v>53792927</v>
      </c>
      <c r="E22">
        <v>1</v>
      </c>
      <c r="F22">
        <v>1</v>
      </c>
      <c r="G22">
        <v>1</v>
      </c>
      <c r="H22">
        <v>2</v>
      </c>
      <c r="I22" t="s">
        <v>257</v>
      </c>
      <c r="J22" t="s">
        <v>258</v>
      </c>
      <c r="K22" t="s">
        <v>259</v>
      </c>
      <c r="L22">
        <v>1367</v>
      </c>
      <c r="N22">
        <v>1011</v>
      </c>
      <c r="O22" t="s">
        <v>41</v>
      </c>
      <c r="P22" t="s">
        <v>41</v>
      </c>
      <c r="Q22">
        <v>1</v>
      </c>
      <c r="X22">
        <v>0.03</v>
      </c>
      <c r="Y22">
        <v>0</v>
      </c>
      <c r="Z22">
        <v>65.71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27</v>
      </c>
      <c r="AG22">
        <v>0.0375</v>
      </c>
      <c r="AH22">
        <v>2</v>
      </c>
      <c r="AI22">
        <v>55655298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55655313</v>
      </c>
      <c r="C23">
        <v>55655290</v>
      </c>
      <c r="D23">
        <v>53793153</v>
      </c>
      <c r="E23">
        <v>1</v>
      </c>
      <c r="F23">
        <v>1</v>
      </c>
      <c r="G23">
        <v>1</v>
      </c>
      <c r="H23">
        <v>2</v>
      </c>
      <c r="I23" t="s">
        <v>48</v>
      </c>
      <c r="J23" t="s">
        <v>50</v>
      </c>
      <c r="K23" t="s">
        <v>49</v>
      </c>
      <c r="L23">
        <v>1367</v>
      </c>
      <c r="N23">
        <v>1011</v>
      </c>
      <c r="O23" t="s">
        <v>41</v>
      </c>
      <c r="P23" t="s">
        <v>41</v>
      </c>
      <c r="Q23">
        <v>1</v>
      </c>
      <c r="X23">
        <v>0.19</v>
      </c>
      <c r="Y23">
        <v>0</v>
      </c>
      <c r="Z23">
        <v>90</v>
      </c>
      <c r="AA23">
        <v>10.06</v>
      </c>
      <c r="AB23">
        <v>0</v>
      </c>
      <c r="AC23">
        <v>0</v>
      </c>
      <c r="AD23">
        <v>1</v>
      </c>
      <c r="AE23">
        <v>0</v>
      </c>
      <c r="AF23" t="s">
        <v>27</v>
      </c>
      <c r="AG23">
        <v>0.2375</v>
      </c>
      <c r="AH23">
        <v>2</v>
      </c>
      <c r="AI23">
        <v>55655299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ROW(Source!A29)</f>
        <v>29</v>
      </c>
      <c r="B24">
        <v>55655314</v>
      </c>
      <c r="C24">
        <v>55655290</v>
      </c>
      <c r="D24">
        <v>53640649</v>
      </c>
      <c r="E24">
        <v>1</v>
      </c>
      <c r="F24">
        <v>1</v>
      </c>
      <c r="G24">
        <v>1</v>
      </c>
      <c r="H24">
        <v>3</v>
      </c>
      <c r="I24" t="s">
        <v>260</v>
      </c>
      <c r="J24" t="s">
        <v>261</v>
      </c>
      <c r="K24" t="s">
        <v>262</v>
      </c>
      <c r="L24">
        <v>1348</v>
      </c>
      <c r="N24">
        <v>1009</v>
      </c>
      <c r="O24" t="s">
        <v>138</v>
      </c>
      <c r="P24" t="s">
        <v>138</v>
      </c>
      <c r="Q24">
        <v>1000</v>
      </c>
      <c r="X24">
        <v>0.01</v>
      </c>
      <c r="Y24">
        <v>1690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0.01</v>
      </c>
      <c r="AH24">
        <v>2</v>
      </c>
      <c r="AI24">
        <v>55655300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ROW(Source!A29)</f>
        <v>29</v>
      </c>
      <c r="B25">
        <v>55655315</v>
      </c>
      <c r="C25">
        <v>55655290</v>
      </c>
      <c r="D25">
        <v>53640725</v>
      </c>
      <c r="E25">
        <v>1</v>
      </c>
      <c r="F25">
        <v>1</v>
      </c>
      <c r="G25">
        <v>1</v>
      </c>
      <c r="H25">
        <v>3</v>
      </c>
      <c r="I25" t="s">
        <v>263</v>
      </c>
      <c r="J25" t="s">
        <v>264</v>
      </c>
      <c r="K25" t="s">
        <v>265</v>
      </c>
      <c r="L25">
        <v>1348</v>
      </c>
      <c r="N25">
        <v>1009</v>
      </c>
      <c r="O25" t="s">
        <v>138</v>
      </c>
      <c r="P25" t="s">
        <v>138</v>
      </c>
      <c r="Q25">
        <v>1000</v>
      </c>
      <c r="X25">
        <v>0.07</v>
      </c>
      <c r="Y25">
        <v>1500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0.07</v>
      </c>
      <c r="AH25">
        <v>2</v>
      </c>
      <c r="AI25">
        <v>55655301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ROW(Source!A29)</f>
        <v>29</v>
      </c>
      <c r="B26">
        <v>55655316</v>
      </c>
      <c r="C26">
        <v>55655290</v>
      </c>
      <c r="D26">
        <v>53642555</v>
      </c>
      <c r="E26">
        <v>1</v>
      </c>
      <c r="F26">
        <v>1</v>
      </c>
      <c r="G26">
        <v>1</v>
      </c>
      <c r="H26">
        <v>3</v>
      </c>
      <c r="I26" t="s">
        <v>266</v>
      </c>
      <c r="J26" t="s">
        <v>267</v>
      </c>
      <c r="K26" t="s">
        <v>268</v>
      </c>
      <c r="L26">
        <v>1339</v>
      </c>
      <c r="N26">
        <v>1007</v>
      </c>
      <c r="O26" t="s">
        <v>269</v>
      </c>
      <c r="P26" t="s">
        <v>269</v>
      </c>
      <c r="Q26">
        <v>1</v>
      </c>
      <c r="X26">
        <v>3.5</v>
      </c>
      <c r="Y26">
        <v>2.44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3.5</v>
      </c>
      <c r="AH26">
        <v>2</v>
      </c>
      <c r="AI26">
        <v>55655302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ROW(Source!A29)</f>
        <v>29</v>
      </c>
      <c r="B27">
        <v>55655317</v>
      </c>
      <c r="C27">
        <v>55655290</v>
      </c>
      <c r="D27">
        <v>53643153</v>
      </c>
      <c r="E27">
        <v>1</v>
      </c>
      <c r="F27">
        <v>1</v>
      </c>
      <c r="G27">
        <v>1</v>
      </c>
      <c r="H27">
        <v>3</v>
      </c>
      <c r="I27" t="s">
        <v>270</v>
      </c>
      <c r="J27" t="s">
        <v>271</v>
      </c>
      <c r="K27" t="s">
        <v>272</v>
      </c>
      <c r="L27">
        <v>1302</v>
      </c>
      <c r="N27">
        <v>1003</v>
      </c>
      <c r="O27" t="s">
        <v>273</v>
      </c>
      <c r="P27" t="s">
        <v>273</v>
      </c>
      <c r="Q27">
        <v>10</v>
      </c>
      <c r="X27">
        <v>10</v>
      </c>
      <c r="Y27">
        <v>16.8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10</v>
      </c>
      <c r="AH27">
        <v>2</v>
      </c>
      <c r="AI27">
        <v>55655303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ROW(Source!A29)</f>
        <v>29</v>
      </c>
      <c r="B28">
        <v>55655318</v>
      </c>
      <c r="C28">
        <v>55655290</v>
      </c>
      <c r="D28">
        <v>53646859</v>
      </c>
      <c r="E28">
        <v>1</v>
      </c>
      <c r="F28">
        <v>1</v>
      </c>
      <c r="G28">
        <v>1</v>
      </c>
      <c r="H28">
        <v>3</v>
      </c>
      <c r="I28" t="s">
        <v>274</v>
      </c>
      <c r="J28" t="s">
        <v>275</v>
      </c>
      <c r="K28" t="s">
        <v>276</v>
      </c>
      <c r="L28">
        <v>1339</v>
      </c>
      <c r="N28">
        <v>1007</v>
      </c>
      <c r="O28" t="s">
        <v>269</v>
      </c>
      <c r="P28" t="s">
        <v>269</v>
      </c>
      <c r="Q28">
        <v>1</v>
      </c>
      <c r="X28">
        <v>2</v>
      </c>
      <c r="Y28">
        <v>59.99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2</v>
      </c>
      <c r="AH28">
        <v>2</v>
      </c>
      <c r="AI28">
        <v>55655304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ROW(Source!A36)</f>
        <v>36</v>
      </c>
      <c r="B29">
        <v>55469138</v>
      </c>
      <c r="C29">
        <v>55469137</v>
      </c>
      <c r="D29">
        <v>53630069</v>
      </c>
      <c r="E29">
        <v>70</v>
      </c>
      <c r="F29">
        <v>1</v>
      </c>
      <c r="G29">
        <v>1</v>
      </c>
      <c r="H29">
        <v>1</v>
      </c>
      <c r="I29" t="s">
        <v>277</v>
      </c>
      <c r="K29" t="s">
        <v>278</v>
      </c>
      <c r="L29">
        <v>1191</v>
      </c>
      <c r="N29">
        <v>1013</v>
      </c>
      <c r="O29" t="s">
        <v>245</v>
      </c>
      <c r="P29" t="s">
        <v>245</v>
      </c>
      <c r="Q29">
        <v>1</v>
      </c>
      <c r="X29">
        <v>68.26</v>
      </c>
      <c r="Y29">
        <v>0</v>
      </c>
      <c r="Z29">
        <v>0</v>
      </c>
      <c r="AA29">
        <v>0</v>
      </c>
      <c r="AB29">
        <v>8.64</v>
      </c>
      <c r="AC29">
        <v>0</v>
      </c>
      <c r="AD29">
        <v>1</v>
      </c>
      <c r="AE29">
        <v>1</v>
      </c>
      <c r="AG29">
        <v>68.26</v>
      </c>
      <c r="AH29">
        <v>2</v>
      </c>
      <c r="AI29">
        <v>55469138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ROW(Source!A36)</f>
        <v>36</v>
      </c>
      <c r="B30">
        <v>55469139</v>
      </c>
      <c r="C30">
        <v>55469137</v>
      </c>
      <c r="D30">
        <v>53630257</v>
      </c>
      <c r="E30">
        <v>70</v>
      </c>
      <c r="F30">
        <v>1</v>
      </c>
      <c r="G30">
        <v>1</v>
      </c>
      <c r="H30">
        <v>1</v>
      </c>
      <c r="I30" t="s">
        <v>246</v>
      </c>
      <c r="K30" t="s">
        <v>247</v>
      </c>
      <c r="L30">
        <v>1191</v>
      </c>
      <c r="N30">
        <v>1013</v>
      </c>
      <c r="O30" t="s">
        <v>245</v>
      </c>
      <c r="P30" t="s">
        <v>245</v>
      </c>
      <c r="Q30">
        <v>1</v>
      </c>
      <c r="X30">
        <v>9.4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G30">
        <v>9.4</v>
      </c>
      <c r="AH30">
        <v>2</v>
      </c>
      <c r="AI30">
        <v>55469139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ROW(Source!A36)</f>
        <v>36</v>
      </c>
      <c r="B31">
        <v>55469140</v>
      </c>
      <c r="C31">
        <v>55469137</v>
      </c>
      <c r="D31">
        <v>53793153</v>
      </c>
      <c r="E31">
        <v>1</v>
      </c>
      <c r="F31">
        <v>1</v>
      </c>
      <c r="G31">
        <v>1</v>
      </c>
      <c r="H31">
        <v>2</v>
      </c>
      <c r="I31" t="s">
        <v>48</v>
      </c>
      <c r="J31" t="s">
        <v>50</v>
      </c>
      <c r="K31" t="s">
        <v>49</v>
      </c>
      <c r="L31">
        <v>1367</v>
      </c>
      <c r="N31">
        <v>1011</v>
      </c>
      <c r="O31" t="s">
        <v>41</v>
      </c>
      <c r="P31" t="s">
        <v>41</v>
      </c>
      <c r="Q31">
        <v>1</v>
      </c>
      <c r="X31">
        <v>9.4</v>
      </c>
      <c r="Y31">
        <v>0</v>
      </c>
      <c r="Z31">
        <v>90</v>
      </c>
      <c r="AA31">
        <v>10.06</v>
      </c>
      <c r="AB31">
        <v>0</v>
      </c>
      <c r="AC31">
        <v>0</v>
      </c>
      <c r="AD31">
        <v>1</v>
      </c>
      <c r="AE31">
        <v>0</v>
      </c>
      <c r="AG31">
        <v>9.4</v>
      </c>
      <c r="AH31">
        <v>2</v>
      </c>
      <c r="AI31">
        <v>55469140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ROW(Source!A36)</f>
        <v>36</v>
      </c>
      <c r="B32">
        <v>55469141</v>
      </c>
      <c r="C32">
        <v>55469137</v>
      </c>
      <c r="D32">
        <v>53793615</v>
      </c>
      <c r="E32">
        <v>1</v>
      </c>
      <c r="F32">
        <v>1</v>
      </c>
      <c r="G32">
        <v>1</v>
      </c>
      <c r="H32">
        <v>2</v>
      </c>
      <c r="I32" t="s">
        <v>279</v>
      </c>
      <c r="J32" t="s">
        <v>280</v>
      </c>
      <c r="K32" t="s">
        <v>281</v>
      </c>
      <c r="L32">
        <v>1367</v>
      </c>
      <c r="N32">
        <v>1011</v>
      </c>
      <c r="O32" t="s">
        <v>41</v>
      </c>
      <c r="P32" t="s">
        <v>41</v>
      </c>
      <c r="Q32">
        <v>1</v>
      </c>
      <c r="X32">
        <v>28.2</v>
      </c>
      <c r="Y32">
        <v>0</v>
      </c>
      <c r="Z32">
        <v>1.53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28.2</v>
      </c>
      <c r="AH32">
        <v>2</v>
      </c>
      <c r="AI32">
        <v>55469141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ROW(Source!A37)</f>
        <v>37</v>
      </c>
      <c r="B33">
        <v>55469138</v>
      </c>
      <c r="C33">
        <v>55469137</v>
      </c>
      <c r="D33">
        <v>53630069</v>
      </c>
      <c r="E33">
        <v>70</v>
      </c>
      <c r="F33">
        <v>1</v>
      </c>
      <c r="G33">
        <v>1</v>
      </c>
      <c r="H33">
        <v>1</v>
      </c>
      <c r="I33" t="s">
        <v>277</v>
      </c>
      <c r="K33" t="s">
        <v>278</v>
      </c>
      <c r="L33">
        <v>1191</v>
      </c>
      <c r="N33">
        <v>1013</v>
      </c>
      <c r="O33" t="s">
        <v>245</v>
      </c>
      <c r="P33" t="s">
        <v>245</v>
      </c>
      <c r="Q33">
        <v>1</v>
      </c>
      <c r="X33">
        <v>68.26</v>
      </c>
      <c r="Y33">
        <v>0</v>
      </c>
      <c r="Z33">
        <v>0</v>
      </c>
      <c r="AA33">
        <v>0</v>
      </c>
      <c r="AB33">
        <v>8.64</v>
      </c>
      <c r="AC33">
        <v>0</v>
      </c>
      <c r="AD33">
        <v>1</v>
      </c>
      <c r="AE33">
        <v>1</v>
      </c>
      <c r="AG33">
        <v>68.26</v>
      </c>
      <c r="AH33">
        <v>2</v>
      </c>
      <c r="AI33">
        <v>55469138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ROW(Source!A37)</f>
        <v>37</v>
      </c>
      <c r="B34">
        <v>55469139</v>
      </c>
      <c r="C34">
        <v>55469137</v>
      </c>
      <c r="D34">
        <v>53630257</v>
      </c>
      <c r="E34">
        <v>70</v>
      </c>
      <c r="F34">
        <v>1</v>
      </c>
      <c r="G34">
        <v>1</v>
      </c>
      <c r="H34">
        <v>1</v>
      </c>
      <c r="I34" t="s">
        <v>246</v>
      </c>
      <c r="K34" t="s">
        <v>247</v>
      </c>
      <c r="L34">
        <v>1191</v>
      </c>
      <c r="N34">
        <v>1013</v>
      </c>
      <c r="O34" t="s">
        <v>245</v>
      </c>
      <c r="P34" t="s">
        <v>245</v>
      </c>
      <c r="Q34">
        <v>1</v>
      </c>
      <c r="X34">
        <v>9.4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G34">
        <v>9.4</v>
      </c>
      <c r="AH34">
        <v>2</v>
      </c>
      <c r="AI34">
        <v>55469139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ROW(Source!A37)</f>
        <v>37</v>
      </c>
      <c r="B35">
        <v>55469140</v>
      </c>
      <c r="C35">
        <v>55469137</v>
      </c>
      <c r="D35">
        <v>53793153</v>
      </c>
      <c r="E35">
        <v>1</v>
      </c>
      <c r="F35">
        <v>1</v>
      </c>
      <c r="G35">
        <v>1</v>
      </c>
      <c r="H35">
        <v>2</v>
      </c>
      <c r="I35" t="s">
        <v>48</v>
      </c>
      <c r="J35" t="s">
        <v>50</v>
      </c>
      <c r="K35" t="s">
        <v>49</v>
      </c>
      <c r="L35">
        <v>1367</v>
      </c>
      <c r="N35">
        <v>1011</v>
      </c>
      <c r="O35" t="s">
        <v>41</v>
      </c>
      <c r="P35" t="s">
        <v>41</v>
      </c>
      <c r="Q35">
        <v>1</v>
      </c>
      <c r="X35">
        <v>9.4</v>
      </c>
      <c r="Y35">
        <v>0</v>
      </c>
      <c r="Z35">
        <v>90</v>
      </c>
      <c r="AA35">
        <v>10.06</v>
      </c>
      <c r="AB35">
        <v>0</v>
      </c>
      <c r="AC35">
        <v>0</v>
      </c>
      <c r="AD35">
        <v>1</v>
      </c>
      <c r="AE35">
        <v>0</v>
      </c>
      <c r="AG35">
        <v>9.4</v>
      </c>
      <c r="AH35">
        <v>2</v>
      </c>
      <c r="AI35">
        <v>55469140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ROW(Source!A37)</f>
        <v>37</v>
      </c>
      <c r="B36">
        <v>55469141</v>
      </c>
      <c r="C36">
        <v>55469137</v>
      </c>
      <c r="D36">
        <v>53793615</v>
      </c>
      <c r="E36">
        <v>1</v>
      </c>
      <c r="F36">
        <v>1</v>
      </c>
      <c r="G36">
        <v>1</v>
      </c>
      <c r="H36">
        <v>2</v>
      </c>
      <c r="I36" t="s">
        <v>279</v>
      </c>
      <c r="J36" t="s">
        <v>280</v>
      </c>
      <c r="K36" t="s">
        <v>281</v>
      </c>
      <c r="L36">
        <v>1367</v>
      </c>
      <c r="N36">
        <v>1011</v>
      </c>
      <c r="O36" t="s">
        <v>41</v>
      </c>
      <c r="P36" t="s">
        <v>41</v>
      </c>
      <c r="Q36">
        <v>1</v>
      </c>
      <c r="X36">
        <v>28.2</v>
      </c>
      <c r="Y36">
        <v>0</v>
      </c>
      <c r="Z36">
        <v>1.53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28.2</v>
      </c>
      <c r="AH36">
        <v>2</v>
      </c>
      <c r="AI36">
        <v>55469141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ROW(Source!A38)</f>
        <v>38</v>
      </c>
      <c r="B37">
        <v>55638421</v>
      </c>
      <c r="C37">
        <v>55638420</v>
      </c>
      <c r="D37">
        <v>53630033</v>
      </c>
      <c r="E37">
        <v>70</v>
      </c>
      <c r="F37">
        <v>1</v>
      </c>
      <c r="G37">
        <v>1</v>
      </c>
      <c r="H37">
        <v>1</v>
      </c>
      <c r="I37" t="s">
        <v>282</v>
      </c>
      <c r="K37" t="s">
        <v>283</v>
      </c>
      <c r="L37">
        <v>1191</v>
      </c>
      <c r="N37">
        <v>1013</v>
      </c>
      <c r="O37" t="s">
        <v>245</v>
      </c>
      <c r="P37" t="s">
        <v>245</v>
      </c>
      <c r="Q37">
        <v>1</v>
      </c>
      <c r="X37">
        <v>59.6</v>
      </c>
      <c r="Y37">
        <v>0</v>
      </c>
      <c r="Z37">
        <v>0</v>
      </c>
      <c r="AA37">
        <v>0</v>
      </c>
      <c r="AB37">
        <v>7.8</v>
      </c>
      <c r="AC37">
        <v>0</v>
      </c>
      <c r="AD37">
        <v>1</v>
      </c>
      <c r="AE37">
        <v>1</v>
      </c>
      <c r="AG37">
        <v>59.6</v>
      </c>
      <c r="AH37">
        <v>2</v>
      </c>
      <c r="AI37">
        <v>55638421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ROW(Source!A39)</f>
        <v>39</v>
      </c>
      <c r="B38">
        <v>55638421</v>
      </c>
      <c r="C38">
        <v>55638420</v>
      </c>
      <c r="D38">
        <v>53630033</v>
      </c>
      <c r="E38">
        <v>70</v>
      </c>
      <c r="F38">
        <v>1</v>
      </c>
      <c r="G38">
        <v>1</v>
      </c>
      <c r="H38">
        <v>1</v>
      </c>
      <c r="I38" t="s">
        <v>282</v>
      </c>
      <c r="K38" t="s">
        <v>283</v>
      </c>
      <c r="L38">
        <v>1191</v>
      </c>
      <c r="N38">
        <v>1013</v>
      </c>
      <c r="O38" t="s">
        <v>245</v>
      </c>
      <c r="P38" t="s">
        <v>245</v>
      </c>
      <c r="Q38">
        <v>1</v>
      </c>
      <c r="X38">
        <v>59.6</v>
      </c>
      <c r="Y38">
        <v>0</v>
      </c>
      <c r="Z38">
        <v>0</v>
      </c>
      <c r="AA38">
        <v>0</v>
      </c>
      <c r="AB38">
        <v>7.8</v>
      </c>
      <c r="AC38">
        <v>0</v>
      </c>
      <c r="AD38">
        <v>1</v>
      </c>
      <c r="AE38">
        <v>1</v>
      </c>
      <c r="AG38">
        <v>59.6</v>
      </c>
      <c r="AH38">
        <v>2</v>
      </c>
      <c r="AI38">
        <v>55638421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ROW(Source!A76)</f>
        <v>76</v>
      </c>
      <c r="B39">
        <v>55469208</v>
      </c>
      <c r="C39">
        <v>55469207</v>
      </c>
      <c r="D39">
        <v>44800251</v>
      </c>
      <c r="E39">
        <v>54</v>
      </c>
      <c r="F39">
        <v>1</v>
      </c>
      <c r="G39">
        <v>1</v>
      </c>
      <c r="H39">
        <v>1</v>
      </c>
      <c r="I39" t="s">
        <v>284</v>
      </c>
      <c r="K39" t="s">
        <v>285</v>
      </c>
      <c r="L39">
        <v>1191</v>
      </c>
      <c r="N39">
        <v>1013</v>
      </c>
      <c r="O39" t="s">
        <v>245</v>
      </c>
      <c r="P39" t="s">
        <v>245</v>
      </c>
      <c r="Q39">
        <v>1</v>
      </c>
      <c r="X39">
        <v>69.8</v>
      </c>
      <c r="Y39">
        <v>0</v>
      </c>
      <c r="Z39">
        <v>0</v>
      </c>
      <c r="AA39">
        <v>0</v>
      </c>
      <c r="AB39">
        <v>8.46</v>
      </c>
      <c r="AC39">
        <v>0</v>
      </c>
      <c r="AD39">
        <v>1</v>
      </c>
      <c r="AE39">
        <v>1</v>
      </c>
      <c r="AF39" t="s">
        <v>28</v>
      </c>
      <c r="AG39">
        <v>80.27</v>
      </c>
      <c r="AH39">
        <v>2</v>
      </c>
      <c r="AI39">
        <v>55469208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ROW(Source!A76)</f>
        <v>76</v>
      </c>
      <c r="B40">
        <v>55469209</v>
      </c>
      <c r="C40">
        <v>55469207</v>
      </c>
      <c r="D40">
        <v>44800452</v>
      </c>
      <c r="E40">
        <v>54</v>
      </c>
      <c r="F40">
        <v>1</v>
      </c>
      <c r="G40">
        <v>1</v>
      </c>
      <c r="H40">
        <v>1</v>
      </c>
      <c r="I40" t="s">
        <v>246</v>
      </c>
      <c r="K40" t="s">
        <v>247</v>
      </c>
      <c r="L40">
        <v>1191</v>
      </c>
      <c r="N40">
        <v>1013</v>
      </c>
      <c r="O40" t="s">
        <v>245</v>
      </c>
      <c r="P40" t="s">
        <v>245</v>
      </c>
      <c r="Q40">
        <v>1</v>
      </c>
      <c r="X40">
        <v>0.65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F40" t="s">
        <v>27</v>
      </c>
      <c r="AG40">
        <v>0.8125</v>
      </c>
      <c r="AH40">
        <v>2</v>
      </c>
      <c r="AI40">
        <v>55469209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ROW(Source!A76)</f>
        <v>76</v>
      </c>
      <c r="B41">
        <v>55469210</v>
      </c>
      <c r="C41">
        <v>55469207</v>
      </c>
      <c r="D41">
        <v>44976261</v>
      </c>
      <c r="E41">
        <v>1</v>
      </c>
      <c r="F41">
        <v>1</v>
      </c>
      <c r="G41">
        <v>1</v>
      </c>
      <c r="H41">
        <v>2</v>
      </c>
      <c r="I41" t="s">
        <v>286</v>
      </c>
      <c r="J41" t="s">
        <v>287</v>
      </c>
      <c r="K41" t="s">
        <v>288</v>
      </c>
      <c r="L41">
        <v>1368</v>
      </c>
      <c r="N41">
        <v>1011</v>
      </c>
      <c r="O41" t="s">
        <v>289</v>
      </c>
      <c r="P41" t="s">
        <v>289</v>
      </c>
      <c r="Q41">
        <v>1</v>
      </c>
      <c r="X41">
        <v>0.61</v>
      </c>
      <c r="Y41">
        <v>0</v>
      </c>
      <c r="Z41">
        <v>115.4</v>
      </c>
      <c r="AA41">
        <v>13.5</v>
      </c>
      <c r="AB41">
        <v>0</v>
      </c>
      <c r="AC41">
        <v>0</v>
      </c>
      <c r="AD41">
        <v>1</v>
      </c>
      <c r="AE41">
        <v>0</v>
      </c>
      <c r="AF41" t="s">
        <v>27</v>
      </c>
      <c r="AG41">
        <v>0.7625</v>
      </c>
      <c r="AH41">
        <v>2</v>
      </c>
      <c r="AI41">
        <v>55469210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ROW(Source!A76)</f>
        <v>76</v>
      </c>
      <c r="B42">
        <v>55469211</v>
      </c>
      <c r="C42">
        <v>55469207</v>
      </c>
      <c r="D42">
        <v>44977280</v>
      </c>
      <c r="E42">
        <v>1</v>
      </c>
      <c r="F42">
        <v>1</v>
      </c>
      <c r="G42">
        <v>1</v>
      </c>
      <c r="H42">
        <v>2</v>
      </c>
      <c r="I42" t="s">
        <v>257</v>
      </c>
      <c r="J42" t="s">
        <v>258</v>
      </c>
      <c r="K42" t="s">
        <v>259</v>
      </c>
      <c r="L42">
        <v>1368</v>
      </c>
      <c r="N42">
        <v>1011</v>
      </c>
      <c r="O42" t="s">
        <v>289</v>
      </c>
      <c r="P42" t="s">
        <v>289</v>
      </c>
      <c r="Q42">
        <v>1</v>
      </c>
      <c r="X42">
        <v>0.04</v>
      </c>
      <c r="Y42">
        <v>0</v>
      </c>
      <c r="Z42">
        <v>65.71</v>
      </c>
      <c r="AA42">
        <v>11.6</v>
      </c>
      <c r="AB42">
        <v>0</v>
      </c>
      <c r="AC42">
        <v>0</v>
      </c>
      <c r="AD42">
        <v>1</v>
      </c>
      <c r="AE42">
        <v>0</v>
      </c>
      <c r="AF42" t="s">
        <v>27</v>
      </c>
      <c r="AG42">
        <v>0.05</v>
      </c>
      <c r="AH42">
        <v>2</v>
      </c>
      <c r="AI42">
        <v>55469211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ROW(Source!A76)</f>
        <v>76</v>
      </c>
      <c r="B43">
        <v>55469212</v>
      </c>
      <c r="C43">
        <v>55469207</v>
      </c>
      <c r="D43">
        <v>44815200</v>
      </c>
      <c r="E43">
        <v>1</v>
      </c>
      <c r="F43">
        <v>1</v>
      </c>
      <c r="G43">
        <v>1</v>
      </c>
      <c r="H43">
        <v>3</v>
      </c>
      <c r="I43" t="s">
        <v>290</v>
      </c>
      <c r="J43" t="s">
        <v>291</v>
      </c>
      <c r="K43" t="s">
        <v>292</v>
      </c>
      <c r="L43">
        <v>1348</v>
      </c>
      <c r="N43">
        <v>1009</v>
      </c>
      <c r="O43" t="s">
        <v>138</v>
      </c>
      <c r="P43" t="s">
        <v>138</v>
      </c>
      <c r="Q43">
        <v>1000</v>
      </c>
      <c r="X43">
        <v>0.001</v>
      </c>
      <c r="Y43">
        <v>11978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0.001</v>
      </c>
      <c r="AH43">
        <v>2</v>
      </c>
      <c r="AI43">
        <v>55469212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ROW(Source!A76)</f>
        <v>76</v>
      </c>
      <c r="B44">
        <v>55469213</v>
      </c>
      <c r="C44">
        <v>55469207</v>
      </c>
      <c r="D44">
        <v>44818336</v>
      </c>
      <c r="E44">
        <v>1</v>
      </c>
      <c r="F44">
        <v>1</v>
      </c>
      <c r="G44">
        <v>1</v>
      </c>
      <c r="H44">
        <v>3</v>
      </c>
      <c r="I44" t="s">
        <v>293</v>
      </c>
      <c r="J44" t="s">
        <v>294</v>
      </c>
      <c r="K44" t="s">
        <v>295</v>
      </c>
      <c r="L44">
        <v>1339</v>
      </c>
      <c r="N44">
        <v>1007</v>
      </c>
      <c r="O44" t="s">
        <v>269</v>
      </c>
      <c r="P44" t="s">
        <v>269</v>
      </c>
      <c r="Q44">
        <v>1</v>
      </c>
      <c r="X44">
        <v>3.9</v>
      </c>
      <c r="Y44">
        <v>592.76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3.9</v>
      </c>
      <c r="AH44">
        <v>2</v>
      </c>
      <c r="AI44">
        <v>55469213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ROW(Source!A76)</f>
        <v>76</v>
      </c>
      <c r="B45">
        <v>55469214</v>
      </c>
      <c r="C45">
        <v>55469207</v>
      </c>
      <c r="D45">
        <v>44818656</v>
      </c>
      <c r="E45">
        <v>1</v>
      </c>
      <c r="F45">
        <v>1</v>
      </c>
      <c r="G45">
        <v>1</v>
      </c>
      <c r="H45">
        <v>3</v>
      </c>
      <c r="I45" t="s">
        <v>296</v>
      </c>
      <c r="J45" t="s">
        <v>297</v>
      </c>
      <c r="K45" t="s">
        <v>298</v>
      </c>
      <c r="L45">
        <v>1339</v>
      </c>
      <c r="N45">
        <v>1007</v>
      </c>
      <c r="O45" t="s">
        <v>269</v>
      </c>
      <c r="P45" t="s">
        <v>269</v>
      </c>
      <c r="Q45">
        <v>1</v>
      </c>
      <c r="X45">
        <v>0.06</v>
      </c>
      <c r="Y45">
        <v>519.8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0.06</v>
      </c>
      <c r="AH45">
        <v>2</v>
      </c>
      <c r="AI45">
        <v>55469214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ROW(Source!A76)</f>
        <v>76</v>
      </c>
      <c r="B46">
        <v>55469215</v>
      </c>
      <c r="C46">
        <v>55469207</v>
      </c>
      <c r="D46">
        <v>44840450</v>
      </c>
      <c r="E46">
        <v>1</v>
      </c>
      <c r="F46">
        <v>1</v>
      </c>
      <c r="G46">
        <v>1</v>
      </c>
      <c r="H46">
        <v>3</v>
      </c>
      <c r="I46" t="s">
        <v>299</v>
      </c>
      <c r="J46" t="s">
        <v>300</v>
      </c>
      <c r="K46" t="s">
        <v>301</v>
      </c>
      <c r="L46">
        <v>1339</v>
      </c>
      <c r="N46">
        <v>1007</v>
      </c>
      <c r="O46" t="s">
        <v>269</v>
      </c>
      <c r="P46" t="s">
        <v>269</v>
      </c>
      <c r="Q46">
        <v>1</v>
      </c>
      <c r="X46">
        <v>0.17</v>
      </c>
      <c r="Y46">
        <v>880.01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0.17</v>
      </c>
      <c r="AH46">
        <v>2</v>
      </c>
      <c r="AI46">
        <v>55469215</v>
      </c>
      <c r="AJ46">
        <v>47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ROW(Source!A76)</f>
        <v>76</v>
      </c>
      <c r="B47">
        <v>55469216</v>
      </c>
      <c r="C47">
        <v>55469207</v>
      </c>
      <c r="D47">
        <v>44803283</v>
      </c>
      <c r="E47">
        <v>54</v>
      </c>
      <c r="F47">
        <v>1</v>
      </c>
      <c r="G47">
        <v>1</v>
      </c>
      <c r="H47">
        <v>3</v>
      </c>
      <c r="I47" t="s">
        <v>360</v>
      </c>
      <c r="K47" t="s">
        <v>361</v>
      </c>
      <c r="L47">
        <v>1301</v>
      </c>
      <c r="N47">
        <v>1003</v>
      </c>
      <c r="O47" t="s">
        <v>362</v>
      </c>
      <c r="P47" t="s">
        <v>362</v>
      </c>
      <c r="Q47">
        <v>1</v>
      </c>
      <c r="X47">
        <v>100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G47">
        <v>100</v>
      </c>
      <c r="AH47">
        <v>3</v>
      </c>
      <c r="AI47">
        <v>-1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ROW(Source!A77)</f>
        <v>77</v>
      </c>
      <c r="B48">
        <v>55469208</v>
      </c>
      <c r="C48">
        <v>55469207</v>
      </c>
      <c r="D48">
        <v>44800251</v>
      </c>
      <c r="E48">
        <v>54</v>
      </c>
      <c r="F48">
        <v>1</v>
      </c>
      <c r="G48">
        <v>1</v>
      </c>
      <c r="H48">
        <v>1</v>
      </c>
      <c r="I48" t="s">
        <v>284</v>
      </c>
      <c r="K48" t="s">
        <v>285</v>
      </c>
      <c r="L48">
        <v>1191</v>
      </c>
      <c r="N48">
        <v>1013</v>
      </c>
      <c r="O48" t="s">
        <v>245</v>
      </c>
      <c r="P48" t="s">
        <v>245</v>
      </c>
      <c r="Q48">
        <v>1</v>
      </c>
      <c r="X48">
        <v>69.8</v>
      </c>
      <c r="Y48">
        <v>0</v>
      </c>
      <c r="Z48">
        <v>0</v>
      </c>
      <c r="AA48">
        <v>0</v>
      </c>
      <c r="AB48">
        <v>8.46</v>
      </c>
      <c r="AC48">
        <v>0</v>
      </c>
      <c r="AD48">
        <v>1</v>
      </c>
      <c r="AE48">
        <v>1</v>
      </c>
      <c r="AF48" t="s">
        <v>28</v>
      </c>
      <c r="AG48">
        <v>80.27</v>
      </c>
      <c r="AH48">
        <v>2</v>
      </c>
      <c r="AI48">
        <v>55469208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ROW(Source!A77)</f>
        <v>77</v>
      </c>
      <c r="B49">
        <v>55469209</v>
      </c>
      <c r="C49">
        <v>55469207</v>
      </c>
      <c r="D49">
        <v>44800452</v>
      </c>
      <c r="E49">
        <v>54</v>
      </c>
      <c r="F49">
        <v>1</v>
      </c>
      <c r="G49">
        <v>1</v>
      </c>
      <c r="H49">
        <v>1</v>
      </c>
      <c r="I49" t="s">
        <v>246</v>
      </c>
      <c r="K49" t="s">
        <v>247</v>
      </c>
      <c r="L49">
        <v>1191</v>
      </c>
      <c r="N49">
        <v>1013</v>
      </c>
      <c r="O49" t="s">
        <v>245</v>
      </c>
      <c r="P49" t="s">
        <v>245</v>
      </c>
      <c r="Q49">
        <v>1</v>
      </c>
      <c r="X49">
        <v>0.65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F49" t="s">
        <v>27</v>
      </c>
      <c r="AG49">
        <v>0.8125</v>
      </c>
      <c r="AH49">
        <v>2</v>
      </c>
      <c r="AI49">
        <v>55469209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ROW(Source!A77)</f>
        <v>77</v>
      </c>
      <c r="B50">
        <v>55469210</v>
      </c>
      <c r="C50">
        <v>55469207</v>
      </c>
      <c r="D50">
        <v>44976261</v>
      </c>
      <c r="E50">
        <v>1</v>
      </c>
      <c r="F50">
        <v>1</v>
      </c>
      <c r="G50">
        <v>1</v>
      </c>
      <c r="H50">
        <v>2</v>
      </c>
      <c r="I50" t="s">
        <v>286</v>
      </c>
      <c r="J50" t="s">
        <v>287</v>
      </c>
      <c r="K50" t="s">
        <v>288</v>
      </c>
      <c r="L50">
        <v>1368</v>
      </c>
      <c r="N50">
        <v>1011</v>
      </c>
      <c r="O50" t="s">
        <v>289</v>
      </c>
      <c r="P50" t="s">
        <v>289</v>
      </c>
      <c r="Q50">
        <v>1</v>
      </c>
      <c r="X50">
        <v>0.61</v>
      </c>
      <c r="Y50">
        <v>0</v>
      </c>
      <c r="Z50">
        <v>115.4</v>
      </c>
      <c r="AA50">
        <v>13.5</v>
      </c>
      <c r="AB50">
        <v>0</v>
      </c>
      <c r="AC50">
        <v>0</v>
      </c>
      <c r="AD50">
        <v>1</v>
      </c>
      <c r="AE50">
        <v>0</v>
      </c>
      <c r="AF50" t="s">
        <v>27</v>
      </c>
      <c r="AG50">
        <v>0.7625</v>
      </c>
      <c r="AH50">
        <v>2</v>
      </c>
      <c r="AI50">
        <v>55469210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ROW(Source!A77)</f>
        <v>77</v>
      </c>
      <c r="B51">
        <v>55469211</v>
      </c>
      <c r="C51">
        <v>55469207</v>
      </c>
      <c r="D51">
        <v>44977280</v>
      </c>
      <c r="E51">
        <v>1</v>
      </c>
      <c r="F51">
        <v>1</v>
      </c>
      <c r="G51">
        <v>1</v>
      </c>
      <c r="H51">
        <v>2</v>
      </c>
      <c r="I51" t="s">
        <v>257</v>
      </c>
      <c r="J51" t="s">
        <v>258</v>
      </c>
      <c r="K51" t="s">
        <v>259</v>
      </c>
      <c r="L51">
        <v>1368</v>
      </c>
      <c r="N51">
        <v>1011</v>
      </c>
      <c r="O51" t="s">
        <v>289</v>
      </c>
      <c r="P51" t="s">
        <v>289</v>
      </c>
      <c r="Q51">
        <v>1</v>
      </c>
      <c r="X51">
        <v>0.04</v>
      </c>
      <c r="Y51">
        <v>0</v>
      </c>
      <c r="Z51">
        <v>65.71</v>
      </c>
      <c r="AA51">
        <v>11.6</v>
      </c>
      <c r="AB51">
        <v>0</v>
      </c>
      <c r="AC51">
        <v>0</v>
      </c>
      <c r="AD51">
        <v>1</v>
      </c>
      <c r="AE51">
        <v>0</v>
      </c>
      <c r="AF51" t="s">
        <v>27</v>
      </c>
      <c r="AG51">
        <v>0.05</v>
      </c>
      <c r="AH51">
        <v>2</v>
      </c>
      <c r="AI51">
        <v>55469211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ROW(Source!A77)</f>
        <v>77</v>
      </c>
      <c r="B52">
        <v>55469212</v>
      </c>
      <c r="C52">
        <v>55469207</v>
      </c>
      <c r="D52">
        <v>44815200</v>
      </c>
      <c r="E52">
        <v>1</v>
      </c>
      <c r="F52">
        <v>1</v>
      </c>
      <c r="G52">
        <v>1</v>
      </c>
      <c r="H52">
        <v>3</v>
      </c>
      <c r="I52" t="s">
        <v>290</v>
      </c>
      <c r="J52" t="s">
        <v>291</v>
      </c>
      <c r="K52" t="s">
        <v>292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0.001</v>
      </c>
      <c r="Y52">
        <v>11978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0.001</v>
      </c>
      <c r="AH52">
        <v>2</v>
      </c>
      <c r="AI52">
        <v>55469212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ROW(Source!A77)</f>
        <v>77</v>
      </c>
      <c r="B53">
        <v>55469213</v>
      </c>
      <c r="C53">
        <v>55469207</v>
      </c>
      <c r="D53">
        <v>44818336</v>
      </c>
      <c r="E53">
        <v>1</v>
      </c>
      <c r="F53">
        <v>1</v>
      </c>
      <c r="G53">
        <v>1</v>
      </c>
      <c r="H53">
        <v>3</v>
      </c>
      <c r="I53" t="s">
        <v>293</v>
      </c>
      <c r="J53" t="s">
        <v>294</v>
      </c>
      <c r="K53" t="s">
        <v>295</v>
      </c>
      <c r="L53">
        <v>1339</v>
      </c>
      <c r="N53">
        <v>1007</v>
      </c>
      <c r="O53" t="s">
        <v>269</v>
      </c>
      <c r="P53" t="s">
        <v>269</v>
      </c>
      <c r="Q53">
        <v>1</v>
      </c>
      <c r="X53">
        <v>3.9</v>
      </c>
      <c r="Y53">
        <v>592.76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3.9</v>
      </c>
      <c r="AH53">
        <v>2</v>
      </c>
      <c r="AI53">
        <v>55469213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ROW(Source!A77)</f>
        <v>77</v>
      </c>
      <c r="B54">
        <v>55469214</v>
      </c>
      <c r="C54">
        <v>55469207</v>
      </c>
      <c r="D54">
        <v>44818656</v>
      </c>
      <c r="E54">
        <v>1</v>
      </c>
      <c r="F54">
        <v>1</v>
      </c>
      <c r="G54">
        <v>1</v>
      </c>
      <c r="H54">
        <v>3</v>
      </c>
      <c r="I54" t="s">
        <v>296</v>
      </c>
      <c r="J54" t="s">
        <v>297</v>
      </c>
      <c r="K54" t="s">
        <v>298</v>
      </c>
      <c r="L54">
        <v>1339</v>
      </c>
      <c r="N54">
        <v>1007</v>
      </c>
      <c r="O54" t="s">
        <v>269</v>
      </c>
      <c r="P54" t="s">
        <v>269</v>
      </c>
      <c r="Q54">
        <v>1</v>
      </c>
      <c r="X54">
        <v>0.06</v>
      </c>
      <c r="Y54">
        <v>519.8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0.06</v>
      </c>
      <c r="AH54">
        <v>2</v>
      </c>
      <c r="AI54">
        <v>55469214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ROW(Source!A77)</f>
        <v>77</v>
      </c>
      <c r="B55">
        <v>55469215</v>
      </c>
      <c r="C55">
        <v>55469207</v>
      </c>
      <c r="D55">
        <v>44840450</v>
      </c>
      <c r="E55">
        <v>1</v>
      </c>
      <c r="F55">
        <v>1</v>
      </c>
      <c r="G55">
        <v>1</v>
      </c>
      <c r="H55">
        <v>3</v>
      </c>
      <c r="I55" t="s">
        <v>299</v>
      </c>
      <c r="J55" t="s">
        <v>300</v>
      </c>
      <c r="K55" t="s">
        <v>301</v>
      </c>
      <c r="L55">
        <v>1339</v>
      </c>
      <c r="N55">
        <v>1007</v>
      </c>
      <c r="O55" t="s">
        <v>269</v>
      </c>
      <c r="P55" t="s">
        <v>269</v>
      </c>
      <c r="Q55">
        <v>1</v>
      </c>
      <c r="X55">
        <v>0.17</v>
      </c>
      <c r="Y55">
        <v>880.01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0.17</v>
      </c>
      <c r="AH55">
        <v>2</v>
      </c>
      <c r="AI55">
        <v>55469215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ROW(Source!A77)</f>
        <v>77</v>
      </c>
      <c r="B56">
        <v>55469216</v>
      </c>
      <c r="C56">
        <v>55469207</v>
      </c>
      <c r="D56">
        <v>44803283</v>
      </c>
      <c r="E56">
        <v>54</v>
      </c>
      <c r="F56">
        <v>1</v>
      </c>
      <c r="G56">
        <v>1</v>
      </c>
      <c r="H56">
        <v>3</v>
      </c>
      <c r="I56" t="s">
        <v>360</v>
      </c>
      <c r="K56" t="s">
        <v>361</v>
      </c>
      <c r="L56">
        <v>1301</v>
      </c>
      <c r="N56">
        <v>1003</v>
      </c>
      <c r="O56" t="s">
        <v>362</v>
      </c>
      <c r="P56" t="s">
        <v>362</v>
      </c>
      <c r="Q56">
        <v>1</v>
      </c>
      <c r="X56">
        <v>100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G56">
        <v>100</v>
      </c>
      <c r="AH56">
        <v>3</v>
      </c>
      <c r="AI56">
        <v>-1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ROW(Source!A80)</f>
        <v>80</v>
      </c>
      <c r="B57">
        <v>55469245</v>
      </c>
      <c r="C57">
        <v>55469220</v>
      </c>
      <c r="D57">
        <v>37822900</v>
      </c>
      <c r="E57">
        <v>54</v>
      </c>
      <c r="F57">
        <v>1</v>
      </c>
      <c r="G57">
        <v>1</v>
      </c>
      <c r="H57">
        <v>1</v>
      </c>
      <c r="I57" t="s">
        <v>302</v>
      </c>
      <c r="K57" t="s">
        <v>303</v>
      </c>
      <c r="L57">
        <v>1191</v>
      </c>
      <c r="N57">
        <v>1013</v>
      </c>
      <c r="O57" t="s">
        <v>245</v>
      </c>
      <c r="P57" t="s">
        <v>245</v>
      </c>
      <c r="Q57">
        <v>1</v>
      </c>
      <c r="X57">
        <v>20.86</v>
      </c>
      <c r="Y57">
        <v>0</v>
      </c>
      <c r="Z57">
        <v>0</v>
      </c>
      <c r="AA57">
        <v>0</v>
      </c>
      <c r="AB57">
        <v>8.74</v>
      </c>
      <c r="AC57">
        <v>0</v>
      </c>
      <c r="AD57">
        <v>1</v>
      </c>
      <c r="AE57">
        <v>1</v>
      </c>
      <c r="AF57" t="s">
        <v>28</v>
      </c>
      <c r="AG57">
        <v>23.988999999999997</v>
      </c>
      <c r="AH57">
        <v>2</v>
      </c>
      <c r="AI57">
        <v>55469221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ROW(Source!A80)</f>
        <v>80</v>
      </c>
      <c r="B58">
        <v>55469246</v>
      </c>
      <c r="C58">
        <v>55469220</v>
      </c>
      <c r="D58">
        <v>37822850</v>
      </c>
      <c r="E58">
        <v>54</v>
      </c>
      <c r="F58">
        <v>1</v>
      </c>
      <c r="G58">
        <v>1</v>
      </c>
      <c r="H58">
        <v>1</v>
      </c>
      <c r="I58" t="s">
        <v>246</v>
      </c>
      <c r="K58" t="s">
        <v>247</v>
      </c>
      <c r="L58">
        <v>1191</v>
      </c>
      <c r="N58">
        <v>1013</v>
      </c>
      <c r="O58" t="s">
        <v>245</v>
      </c>
      <c r="P58" t="s">
        <v>245</v>
      </c>
      <c r="Q58">
        <v>1</v>
      </c>
      <c r="X58">
        <v>18.85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27</v>
      </c>
      <c r="AG58">
        <v>23.5625</v>
      </c>
      <c r="AH58">
        <v>2</v>
      </c>
      <c r="AI58">
        <v>55469222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ROW(Source!A80)</f>
        <v>80</v>
      </c>
      <c r="B59">
        <v>55469247</v>
      </c>
      <c r="C59">
        <v>55469220</v>
      </c>
      <c r="D59">
        <v>44976389</v>
      </c>
      <c r="E59">
        <v>1</v>
      </c>
      <c r="F59">
        <v>1</v>
      </c>
      <c r="G59">
        <v>1</v>
      </c>
      <c r="H59">
        <v>2</v>
      </c>
      <c r="I59" t="s">
        <v>304</v>
      </c>
      <c r="J59" t="s">
        <v>305</v>
      </c>
      <c r="K59" t="s">
        <v>306</v>
      </c>
      <c r="L59">
        <v>1368</v>
      </c>
      <c r="N59">
        <v>1011</v>
      </c>
      <c r="O59" t="s">
        <v>289</v>
      </c>
      <c r="P59" t="s">
        <v>289</v>
      </c>
      <c r="Q59">
        <v>1</v>
      </c>
      <c r="X59">
        <v>2.44</v>
      </c>
      <c r="Y59">
        <v>0</v>
      </c>
      <c r="Z59">
        <v>0.58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27</v>
      </c>
      <c r="AG59">
        <v>3.05</v>
      </c>
      <c r="AH59">
        <v>2</v>
      </c>
      <c r="AI59">
        <v>55469223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ROW(Source!A80)</f>
        <v>80</v>
      </c>
      <c r="B60">
        <v>55469248</v>
      </c>
      <c r="C60">
        <v>55469220</v>
      </c>
      <c r="D60">
        <v>44976423</v>
      </c>
      <c r="E60">
        <v>1</v>
      </c>
      <c r="F60">
        <v>1</v>
      </c>
      <c r="G60">
        <v>1</v>
      </c>
      <c r="H60">
        <v>2</v>
      </c>
      <c r="I60" t="s">
        <v>39</v>
      </c>
      <c r="J60" t="s">
        <v>42</v>
      </c>
      <c r="K60" t="s">
        <v>40</v>
      </c>
      <c r="L60">
        <v>1368</v>
      </c>
      <c r="N60">
        <v>1011</v>
      </c>
      <c r="O60" t="s">
        <v>289</v>
      </c>
      <c r="P60" t="s">
        <v>289</v>
      </c>
      <c r="Q60">
        <v>1</v>
      </c>
      <c r="X60">
        <v>0.55</v>
      </c>
      <c r="Y60">
        <v>0</v>
      </c>
      <c r="Z60">
        <v>89.99</v>
      </c>
      <c r="AA60">
        <v>10.06</v>
      </c>
      <c r="AB60">
        <v>0</v>
      </c>
      <c r="AC60">
        <v>0</v>
      </c>
      <c r="AD60">
        <v>1</v>
      </c>
      <c r="AE60">
        <v>0</v>
      </c>
      <c r="AF60" t="s">
        <v>27</v>
      </c>
      <c r="AG60">
        <v>0.6875</v>
      </c>
      <c r="AH60">
        <v>2</v>
      </c>
      <c r="AI60">
        <v>55469224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ROW(Source!A80)</f>
        <v>80</v>
      </c>
      <c r="B61">
        <v>55469249</v>
      </c>
      <c r="C61">
        <v>55469220</v>
      </c>
      <c r="D61">
        <v>44976638</v>
      </c>
      <c r="E61">
        <v>1</v>
      </c>
      <c r="F61">
        <v>1</v>
      </c>
      <c r="G61">
        <v>1</v>
      </c>
      <c r="H61">
        <v>2</v>
      </c>
      <c r="I61" t="s">
        <v>307</v>
      </c>
      <c r="J61" t="s">
        <v>308</v>
      </c>
      <c r="K61" t="s">
        <v>309</v>
      </c>
      <c r="L61">
        <v>1368</v>
      </c>
      <c r="N61">
        <v>1011</v>
      </c>
      <c r="O61" t="s">
        <v>289</v>
      </c>
      <c r="P61" t="s">
        <v>289</v>
      </c>
      <c r="Q61">
        <v>1</v>
      </c>
      <c r="X61">
        <v>2.04</v>
      </c>
      <c r="Y61">
        <v>0</v>
      </c>
      <c r="Z61">
        <v>694.79</v>
      </c>
      <c r="AA61">
        <v>16.44</v>
      </c>
      <c r="AB61">
        <v>0</v>
      </c>
      <c r="AC61">
        <v>0</v>
      </c>
      <c r="AD61">
        <v>1</v>
      </c>
      <c r="AE61">
        <v>0</v>
      </c>
      <c r="AF61" t="s">
        <v>27</v>
      </c>
      <c r="AG61">
        <v>2.55</v>
      </c>
      <c r="AH61">
        <v>2</v>
      </c>
      <c r="AI61">
        <v>55469225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ROW(Source!A80)</f>
        <v>80</v>
      </c>
      <c r="B62">
        <v>55469250</v>
      </c>
      <c r="C62">
        <v>55469220</v>
      </c>
      <c r="D62">
        <v>44976678</v>
      </c>
      <c r="E62">
        <v>1</v>
      </c>
      <c r="F62">
        <v>1</v>
      </c>
      <c r="G62">
        <v>1</v>
      </c>
      <c r="H62">
        <v>2</v>
      </c>
      <c r="I62" t="s">
        <v>310</v>
      </c>
      <c r="J62" t="s">
        <v>311</v>
      </c>
      <c r="K62" t="s">
        <v>312</v>
      </c>
      <c r="L62">
        <v>1368</v>
      </c>
      <c r="N62">
        <v>1011</v>
      </c>
      <c r="O62" t="s">
        <v>289</v>
      </c>
      <c r="P62" t="s">
        <v>289</v>
      </c>
      <c r="Q62">
        <v>1</v>
      </c>
      <c r="X62">
        <v>2.14</v>
      </c>
      <c r="Y62">
        <v>0</v>
      </c>
      <c r="Z62">
        <v>247.24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27</v>
      </c>
      <c r="AG62">
        <v>2.6750000000000003</v>
      </c>
      <c r="AH62">
        <v>2</v>
      </c>
      <c r="AI62">
        <v>55469226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ROW(Source!A80)</f>
        <v>80</v>
      </c>
      <c r="B63">
        <v>55469251</v>
      </c>
      <c r="C63">
        <v>55469220</v>
      </c>
      <c r="D63">
        <v>44976706</v>
      </c>
      <c r="E63">
        <v>1</v>
      </c>
      <c r="F63">
        <v>1</v>
      </c>
      <c r="G63">
        <v>1</v>
      </c>
      <c r="H63">
        <v>2</v>
      </c>
      <c r="I63" t="s">
        <v>313</v>
      </c>
      <c r="J63" t="s">
        <v>314</v>
      </c>
      <c r="K63" t="s">
        <v>315</v>
      </c>
      <c r="L63">
        <v>1368</v>
      </c>
      <c r="N63">
        <v>1011</v>
      </c>
      <c r="O63" t="s">
        <v>289</v>
      </c>
      <c r="P63" t="s">
        <v>289</v>
      </c>
      <c r="Q63">
        <v>1</v>
      </c>
      <c r="X63">
        <v>1.51</v>
      </c>
      <c r="Y63">
        <v>0</v>
      </c>
      <c r="Z63">
        <v>216.98</v>
      </c>
      <c r="AA63">
        <v>11.6</v>
      </c>
      <c r="AB63">
        <v>0</v>
      </c>
      <c r="AC63">
        <v>0</v>
      </c>
      <c r="AD63">
        <v>1</v>
      </c>
      <c r="AE63">
        <v>0</v>
      </c>
      <c r="AF63" t="s">
        <v>27</v>
      </c>
      <c r="AG63">
        <v>1.8875</v>
      </c>
      <c r="AH63">
        <v>2</v>
      </c>
      <c r="AI63">
        <v>55469227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ROW(Source!A80)</f>
        <v>80</v>
      </c>
      <c r="B64">
        <v>55469252</v>
      </c>
      <c r="C64">
        <v>55469220</v>
      </c>
      <c r="D64">
        <v>44976708</v>
      </c>
      <c r="E64">
        <v>1</v>
      </c>
      <c r="F64">
        <v>1</v>
      </c>
      <c r="G64">
        <v>1</v>
      </c>
      <c r="H64">
        <v>2</v>
      </c>
      <c r="I64" t="s">
        <v>316</v>
      </c>
      <c r="J64" t="s">
        <v>317</v>
      </c>
      <c r="K64" t="s">
        <v>318</v>
      </c>
      <c r="L64">
        <v>1368</v>
      </c>
      <c r="N64">
        <v>1011</v>
      </c>
      <c r="O64" t="s">
        <v>289</v>
      </c>
      <c r="P64" t="s">
        <v>289</v>
      </c>
      <c r="Q64">
        <v>1</v>
      </c>
      <c r="X64">
        <v>2.59</v>
      </c>
      <c r="Y64">
        <v>0</v>
      </c>
      <c r="Z64">
        <v>236.79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27</v>
      </c>
      <c r="AG64">
        <v>3.2375</v>
      </c>
      <c r="AH64">
        <v>2</v>
      </c>
      <c r="AI64">
        <v>55469228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ROW(Source!A80)</f>
        <v>80</v>
      </c>
      <c r="B65">
        <v>55469253</v>
      </c>
      <c r="C65">
        <v>55469220</v>
      </c>
      <c r="D65">
        <v>44976710</v>
      </c>
      <c r="E65">
        <v>1</v>
      </c>
      <c r="F65">
        <v>1</v>
      </c>
      <c r="G65">
        <v>1</v>
      </c>
      <c r="H65">
        <v>2</v>
      </c>
      <c r="I65" t="s">
        <v>319</v>
      </c>
      <c r="J65" t="s">
        <v>320</v>
      </c>
      <c r="K65" t="s">
        <v>321</v>
      </c>
      <c r="L65">
        <v>1368</v>
      </c>
      <c r="N65">
        <v>1011</v>
      </c>
      <c r="O65" t="s">
        <v>289</v>
      </c>
      <c r="P65" t="s">
        <v>289</v>
      </c>
      <c r="Q65">
        <v>1</v>
      </c>
      <c r="X65">
        <v>0.97</v>
      </c>
      <c r="Y65">
        <v>0</v>
      </c>
      <c r="Z65">
        <v>298.31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27</v>
      </c>
      <c r="AG65">
        <v>1.2125</v>
      </c>
      <c r="AH65">
        <v>2</v>
      </c>
      <c r="AI65">
        <v>55469229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ROW(Source!A80)</f>
        <v>80</v>
      </c>
      <c r="B66">
        <v>55469254</v>
      </c>
      <c r="C66">
        <v>55469220</v>
      </c>
      <c r="D66">
        <v>44976759</v>
      </c>
      <c r="E66">
        <v>1</v>
      </c>
      <c r="F66">
        <v>1</v>
      </c>
      <c r="G66">
        <v>1</v>
      </c>
      <c r="H66">
        <v>2</v>
      </c>
      <c r="I66" t="s">
        <v>322</v>
      </c>
      <c r="J66" t="s">
        <v>323</v>
      </c>
      <c r="K66" t="s">
        <v>324</v>
      </c>
      <c r="L66">
        <v>1368</v>
      </c>
      <c r="N66">
        <v>1011</v>
      </c>
      <c r="O66" t="s">
        <v>289</v>
      </c>
      <c r="P66" t="s">
        <v>289</v>
      </c>
      <c r="Q66">
        <v>1</v>
      </c>
      <c r="X66">
        <v>1.52</v>
      </c>
      <c r="Y66">
        <v>0</v>
      </c>
      <c r="Z66">
        <v>19.04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27</v>
      </c>
      <c r="AG66">
        <v>1.9</v>
      </c>
      <c r="AH66">
        <v>2</v>
      </c>
      <c r="AI66">
        <v>55469230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ROW(Source!A80)</f>
        <v>80</v>
      </c>
      <c r="B67">
        <v>55469255</v>
      </c>
      <c r="C67">
        <v>55469220</v>
      </c>
      <c r="D67">
        <v>44976813</v>
      </c>
      <c r="E67">
        <v>1</v>
      </c>
      <c r="F67">
        <v>1</v>
      </c>
      <c r="G67">
        <v>1</v>
      </c>
      <c r="H67">
        <v>2</v>
      </c>
      <c r="I67" t="s">
        <v>325</v>
      </c>
      <c r="J67" t="s">
        <v>326</v>
      </c>
      <c r="K67" t="s">
        <v>327</v>
      </c>
      <c r="L67">
        <v>1368</v>
      </c>
      <c r="N67">
        <v>1011</v>
      </c>
      <c r="O67" t="s">
        <v>289</v>
      </c>
      <c r="P67" t="s">
        <v>289</v>
      </c>
      <c r="Q67">
        <v>1</v>
      </c>
      <c r="X67">
        <v>2.04</v>
      </c>
      <c r="Y67">
        <v>0</v>
      </c>
      <c r="Z67">
        <v>1503.75</v>
      </c>
      <c r="AA67">
        <v>14.4</v>
      </c>
      <c r="AB67">
        <v>0</v>
      </c>
      <c r="AC67">
        <v>0</v>
      </c>
      <c r="AD67">
        <v>1</v>
      </c>
      <c r="AE67">
        <v>0</v>
      </c>
      <c r="AF67" t="s">
        <v>27</v>
      </c>
      <c r="AG67">
        <v>2.55</v>
      </c>
      <c r="AH67">
        <v>2</v>
      </c>
      <c r="AI67">
        <v>55469231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ROW(Source!A80)</f>
        <v>80</v>
      </c>
      <c r="B68">
        <v>55469256</v>
      </c>
      <c r="C68">
        <v>55469220</v>
      </c>
      <c r="D68">
        <v>44976814</v>
      </c>
      <c r="E68">
        <v>1</v>
      </c>
      <c r="F68">
        <v>1</v>
      </c>
      <c r="G68">
        <v>1</v>
      </c>
      <c r="H68">
        <v>2</v>
      </c>
      <c r="I68" t="s">
        <v>328</v>
      </c>
      <c r="J68" t="s">
        <v>329</v>
      </c>
      <c r="K68" t="s">
        <v>330</v>
      </c>
      <c r="L68">
        <v>1368</v>
      </c>
      <c r="N68">
        <v>1011</v>
      </c>
      <c r="O68" t="s">
        <v>289</v>
      </c>
      <c r="P68" t="s">
        <v>289</v>
      </c>
      <c r="Q68">
        <v>1</v>
      </c>
      <c r="X68">
        <v>2.04</v>
      </c>
      <c r="Y68">
        <v>0</v>
      </c>
      <c r="Z68">
        <v>19.4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27</v>
      </c>
      <c r="AG68">
        <v>2.55</v>
      </c>
      <c r="AH68">
        <v>2</v>
      </c>
      <c r="AI68">
        <v>55469232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ROW(Source!A80)</f>
        <v>80</v>
      </c>
      <c r="B69">
        <v>55469257</v>
      </c>
      <c r="C69">
        <v>55469220</v>
      </c>
      <c r="D69">
        <v>44977227</v>
      </c>
      <c r="E69">
        <v>1</v>
      </c>
      <c r="F69">
        <v>1</v>
      </c>
      <c r="G69">
        <v>1</v>
      </c>
      <c r="H69">
        <v>2</v>
      </c>
      <c r="I69" t="s">
        <v>254</v>
      </c>
      <c r="J69" t="s">
        <v>255</v>
      </c>
      <c r="K69" t="s">
        <v>256</v>
      </c>
      <c r="L69">
        <v>1368</v>
      </c>
      <c r="N69">
        <v>1011</v>
      </c>
      <c r="O69" t="s">
        <v>289</v>
      </c>
      <c r="P69" t="s">
        <v>289</v>
      </c>
      <c r="Q69">
        <v>1</v>
      </c>
      <c r="X69">
        <v>3.1</v>
      </c>
      <c r="Y69">
        <v>0</v>
      </c>
      <c r="Z69">
        <v>110</v>
      </c>
      <c r="AA69">
        <v>11.6</v>
      </c>
      <c r="AB69">
        <v>0</v>
      </c>
      <c r="AC69">
        <v>0</v>
      </c>
      <c r="AD69">
        <v>1</v>
      </c>
      <c r="AE69">
        <v>0</v>
      </c>
      <c r="AF69" t="s">
        <v>27</v>
      </c>
      <c r="AG69">
        <v>3.875</v>
      </c>
      <c r="AH69">
        <v>2</v>
      </c>
      <c r="AI69">
        <v>55469233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ROW(Source!A80)</f>
        <v>80</v>
      </c>
      <c r="B70">
        <v>55469258</v>
      </c>
      <c r="C70">
        <v>55469220</v>
      </c>
      <c r="D70">
        <v>44977264</v>
      </c>
      <c r="E70">
        <v>1</v>
      </c>
      <c r="F70">
        <v>1</v>
      </c>
      <c r="G70">
        <v>1</v>
      </c>
      <c r="H70">
        <v>2</v>
      </c>
      <c r="I70" t="s">
        <v>331</v>
      </c>
      <c r="J70" t="s">
        <v>332</v>
      </c>
      <c r="K70" t="s">
        <v>333</v>
      </c>
      <c r="L70">
        <v>1368</v>
      </c>
      <c r="N70">
        <v>1011</v>
      </c>
      <c r="O70" t="s">
        <v>289</v>
      </c>
      <c r="P70" t="s">
        <v>289</v>
      </c>
      <c r="Q70">
        <v>1</v>
      </c>
      <c r="X70">
        <v>0.2</v>
      </c>
      <c r="Y70">
        <v>0</v>
      </c>
      <c r="Z70">
        <v>92.86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27</v>
      </c>
      <c r="AG70">
        <v>0.25</v>
      </c>
      <c r="AH70">
        <v>2</v>
      </c>
      <c r="AI70">
        <v>55469234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ROW(Source!A80)</f>
        <v>80</v>
      </c>
      <c r="B71">
        <v>55469259</v>
      </c>
      <c r="C71">
        <v>55469220</v>
      </c>
      <c r="D71">
        <v>44977523</v>
      </c>
      <c r="E71">
        <v>1</v>
      </c>
      <c r="F71">
        <v>1</v>
      </c>
      <c r="G71">
        <v>1</v>
      </c>
      <c r="H71">
        <v>2</v>
      </c>
      <c r="I71" t="s">
        <v>334</v>
      </c>
      <c r="J71" t="s">
        <v>335</v>
      </c>
      <c r="K71" t="s">
        <v>336</v>
      </c>
      <c r="L71">
        <v>1368</v>
      </c>
      <c r="N71">
        <v>1011</v>
      </c>
      <c r="O71" t="s">
        <v>289</v>
      </c>
      <c r="P71" t="s">
        <v>289</v>
      </c>
      <c r="Q71">
        <v>1</v>
      </c>
      <c r="X71">
        <v>3.71</v>
      </c>
      <c r="Y71">
        <v>0</v>
      </c>
      <c r="Z71">
        <v>203.2</v>
      </c>
      <c r="AA71">
        <v>10.06</v>
      </c>
      <c r="AB71">
        <v>0</v>
      </c>
      <c r="AC71">
        <v>0</v>
      </c>
      <c r="AD71">
        <v>1</v>
      </c>
      <c r="AE71">
        <v>0</v>
      </c>
      <c r="AF71" t="s">
        <v>27</v>
      </c>
      <c r="AG71">
        <v>4.6375</v>
      </c>
      <c r="AH71">
        <v>2</v>
      </c>
      <c r="AI71">
        <v>55469235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ROW(Source!A80)</f>
        <v>80</v>
      </c>
      <c r="B72">
        <v>55469260</v>
      </c>
      <c r="C72">
        <v>55469220</v>
      </c>
      <c r="D72">
        <v>44978015</v>
      </c>
      <c r="E72">
        <v>1</v>
      </c>
      <c r="F72">
        <v>1</v>
      </c>
      <c r="G72">
        <v>1</v>
      </c>
      <c r="H72">
        <v>2</v>
      </c>
      <c r="I72" t="s">
        <v>279</v>
      </c>
      <c r="J72" t="s">
        <v>280</v>
      </c>
      <c r="K72" t="s">
        <v>281</v>
      </c>
      <c r="L72">
        <v>1368</v>
      </c>
      <c r="N72">
        <v>1011</v>
      </c>
      <c r="O72" t="s">
        <v>289</v>
      </c>
      <c r="P72" t="s">
        <v>289</v>
      </c>
      <c r="Q72">
        <v>1</v>
      </c>
      <c r="X72">
        <v>1.15</v>
      </c>
      <c r="Y72">
        <v>0</v>
      </c>
      <c r="Z72">
        <v>1.53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27</v>
      </c>
      <c r="AG72">
        <v>1.4375</v>
      </c>
      <c r="AH72">
        <v>2</v>
      </c>
      <c r="AI72">
        <v>55469236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ROW(Source!A80)</f>
        <v>80</v>
      </c>
      <c r="B73">
        <v>55469261</v>
      </c>
      <c r="C73">
        <v>55469220</v>
      </c>
      <c r="D73">
        <v>44810508</v>
      </c>
      <c r="E73">
        <v>1</v>
      </c>
      <c r="F73">
        <v>1</v>
      </c>
      <c r="G73">
        <v>1</v>
      </c>
      <c r="H73">
        <v>3</v>
      </c>
      <c r="I73" t="s">
        <v>337</v>
      </c>
      <c r="J73" t="s">
        <v>338</v>
      </c>
      <c r="K73" t="s">
        <v>339</v>
      </c>
      <c r="L73">
        <v>1348</v>
      </c>
      <c r="N73">
        <v>1009</v>
      </c>
      <c r="O73" t="s">
        <v>138</v>
      </c>
      <c r="P73" t="s">
        <v>138</v>
      </c>
      <c r="Q73">
        <v>1000</v>
      </c>
      <c r="X73">
        <v>0.004</v>
      </c>
      <c r="Y73">
        <v>1554.2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0.004</v>
      </c>
      <c r="AH73">
        <v>2</v>
      </c>
      <c r="AI73">
        <v>55469237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ROW(Source!A80)</f>
        <v>80</v>
      </c>
      <c r="B74">
        <v>55469262</v>
      </c>
      <c r="C74">
        <v>55469220</v>
      </c>
      <c r="D74">
        <v>44812338</v>
      </c>
      <c r="E74">
        <v>1</v>
      </c>
      <c r="F74">
        <v>1</v>
      </c>
      <c r="G74">
        <v>1</v>
      </c>
      <c r="H74">
        <v>3</v>
      </c>
      <c r="I74" t="s">
        <v>340</v>
      </c>
      <c r="J74" t="s">
        <v>341</v>
      </c>
      <c r="K74" t="s">
        <v>342</v>
      </c>
      <c r="L74">
        <v>1339</v>
      </c>
      <c r="N74">
        <v>1007</v>
      </c>
      <c r="O74" t="s">
        <v>269</v>
      </c>
      <c r="P74" t="s">
        <v>269</v>
      </c>
      <c r="Q74">
        <v>1</v>
      </c>
      <c r="X74">
        <v>20.52</v>
      </c>
      <c r="Y74">
        <v>3.15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20.52</v>
      </c>
      <c r="AH74">
        <v>2</v>
      </c>
      <c r="AI74">
        <v>55469238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ROW(Source!A80)</f>
        <v>80</v>
      </c>
      <c r="B75">
        <v>55469263</v>
      </c>
      <c r="C75">
        <v>55469220</v>
      </c>
      <c r="D75">
        <v>44812972</v>
      </c>
      <c r="E75">
        <v>1</v>
      </c>
      <c r="F75">
        <v>1</v>
      </c>
      <c r="G75">
        <v>1</v>
      </c>
      <c r="H75">
        <v>3</v>
      </c>
      <c r="I75" t="s">
        <v>343</v>
      </c>
      <c r="J75" t="s">
        <v>344</v>
      </c>
      <c r="K75" t="s">
        <v>345</v>
      </c>
      <c r="L75">
        <v>1348</v>
      </c>
      <c r="N75">
        <v>1009</v>
      </c>
      <c r="O75" t="s">
        <v>138</v>
      </c>
      <c r="P75" t="s">
        <v>138</v>
      </c>
      <c r="Q75">
        <v>1000</v>
      </c>
      <c r="X75">
        <v>0.0024</v>
      </c>
      <c r="Y75">
        <v>40650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0.0024</v>
      </c>
      <c r="AH75">
        <v>2</v>
      </c>
      <c r="AI75">
        <v>55469239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ROW(Source!A80)</f>
        <v>80</v>
      </c>
      <c r="B76">
        <v>55469264</v>
      </c>
      <c r="C76">
        <v>55469220</v>
      </c>
      <c r="D76">
        <v>44815052</v>
      </c>
      <c r="E76">
        <v>1</v>
      </c>
      <c r="F76">
        <v>1</v>
      </c>
      <c r="G76">
        <v>1</v>
      </c>
      <c r="H76">
        <v>3</v>
      </c>
      <c r="I76" t="s">
        <v>346</v>
      </c>
      <c r="J76" t="s">
        <v>347</v>
      </c>
      <c r="K76" t="s">
        <v>348</v>
      </c>
      <c r="L76">
        <v>1348</v>
      </c>
      <c r="N76">
        <v>1009</v>
      </c>
      <c r="O76" t="s">
        <v>138</v>
      </c>
      <c r="P76" t="s">
        <v>138</v>
      </c>
      <c r="Q76">
        <v>1000</v>
      </c>
      <c r="X76">
        <v>0.012</v>
      </c>
      <c r="Y76">
        <v>10068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0.012</v>
      </c>
      <c r="AH76">
        <v>2</v>
      </c>
      <c r="AI76">
        <v>55469240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ROW(Source!A80)</f>
        <v>80</v>
      </c>
      <c r="B77">
        <v>55469265</v>
      </c>
      <c r="C77">
        <v>55469220</v>
      </c>
      <c r="D77">
        <v>44815737</v>
      </c>
      <c r="E77">
        <v>1</v>
      </c>
      <c r="F77">
        <v>1</v>
      </c>
      <c r="G77">
        <v>1</v>
      </c>
      <c r="H77">
        <v>3</v>
      </c>
      <c r="I77" t="s">
        <v>349</v>
      </c>
      <c r="J77" t="s">
        <v>350</v>
      </c>
      <c r="K77" t="s">
        <v>351</v>
      </c>
      <c r="L77">
        <v>1371</v>
      </c>
      <c r="N77">
        <v>1013</v>
      </c>
      <c r="O77" t="s">
        <v>129</v>
      </c>
      <c r="P77" t="s">
        <v>129</v>
      </c>
      <c r="Q77">
        <v>1</v>
      </c>
      <c r="X77">
        <v>0.782</v>
      </c>
      <c r="Y77">
        <v>737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0.782</v>
      </c>
      <c r="AH77">
        <v>2</v>
      </c>
      <c r="AI77">
        <v>55469241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ROW(Source!A80)</f>
        <v>80</v>
      </c>
      <c r="B78">
        <v>55469266</v>
      </c>
      <c r="C78">
        <v>55469220</v>
      </c>
      <c r="D78">
        <v>44801271</v>
      </c>
      <c r="E78">
        <v>54</v>
      </c>
      <c r="F78">
        <v>1</v>
      </c>
      <c r="G78">
        <v>1</v>
      </c>
      <c r="H78">
        <v>3</v>
      </c>
      <c r="I78" t="s">
        <v>363</v>
      </c>
      <c r="K78" t="s">
        <v>364</v>
      </c>
      <c r="L78">
        <v>1348</v>
      </c>
      <c r="N78">
        <v>1009</v>
      </c>
      <c r="O78" t="s">
        <v>138</v>
      </c>
      <c r="P78" t="s">
        <v>138</v>
      </c>
      <c r="Q78">
        <v>1000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G78">
        <v>0</v>
      </c>
      <c r="AH78">
        <v>3</v>
      </c>
      <c r="AI78">
        <v>-1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ROW(Source!A80)</f>
        <v>80</v>
      </c>
      <c r="B79">
        <v>55469267</v>
      </c>
      <c r="C79">
        <v>55469220</v>
      </c>
      <c r="D79">
        <v>44832417</v>
      </c>
      <c r="E79">
        <v>1</v>
      </c>
      <c r="F79">
        <v>1</v>
      </c>
      <c r="G79">
        <v>1</v>
      </c>
      <c r="H79">
        <v>3</v>
      </c>
      <c r="I79" t="s">
        <v>352</v>
      </c>
      <c r="J79" t="s">
        <v>353</v>
      </c>
      <c r="K79" t="s">
        <v>354</v>
      </c>
      <c r="L79">
        <v>1348</v>
      </c>
      <c r="N79">
        <v>1009</v>
      </c>
      <c r="O79" t="s">
        <v>138</v>
      </c>
      <c r="P79" t="s">
        <v>138</v>
      </c>
      <c r="Q79">
        <v>1000</v>
      </c>
      <c r="X79">
        <v>0.0008</v>
      </c>
      <c r="Y79">
        <v>5989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0.0008</v>
      </c>
      <c r="AH79">
        <v>2</v>
      </c>
      <c r="AI79">
        <v>55469243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ROW(Source!A80)</f>
        <v>80</v>
      </c>
      <c r="B80">
        <v>55469268</v>
      </c>
      <c r="C80">
        <v>55469220</v>
      </c>
      <c r="D80">
        <v>44835312</v>
      </c>
      <c r="E80">
        <v>1</v>
      </c>
      <c r="F80">
        <v>1</v>
      </c>
      <c r="G80">
        <v>1</v>
      </c>
      <c r="H80">
        <v>3</v>
      </c>
      <c r="I80" t="s">
        <v>355</v>
      </c>
      <c r="J80" t="s">
        <v>356</v>
      </c>
      <c r="K80" t="s">
        <v>357</v>
      </c>
      <c r="L80">
        <v>1348</v>
      </c>
      <c r="N80">
        <v>1009</v>
      </c>
      <c r="O80" t="s">
        <v>138</v>
      </c>
      <c r="P80" t="s">
        <v>138</v>
      </c>
      <c r="Q80">
        <v>1000</v>
      </c>
      <c r="X80">
        <v>0.0008</v>
      </c>
      <c r="Y80">
        <v>5520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0.0008</v>
      </c>
      <c r="AH80">
        <v>2</v>
      </c>
      <c r="AI80">
        <v>55469244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ROW(Source!A81)</f>
        <v>81</v>
      </c>
      <c r="B81">
        <v>55469245</v>
      </c>
      <c r="C81">
        <v>55469220</v>
      </c>
      <c r="D81">
        <v>37822900</v>
      </c>
      <c r="E81">
        <v>54</v>
      </c>
      <c r="F81">
        <v>1</v>
      </c>
      <c r="G81">
        <v>1</v>
      </c>
      <c r="H81">
        <v>1</v>
      </c>
      <c r="I81" t="s">
        <v>302</v>
      </c>
      <c r="K81" t="s">
        <v>303</v>
      </c>
      <c r="L81">
        <v>1191</v>
      </c>
      <c r="N81">
        <v>1013</v>
      </c>
      <c r="O81" t="s">
        <v>245</v>
      </c>
      <c r="P81" t="s">
        <v>245</v>
      </c>
      <c r="Q81">
        <v>1</v>
      </c>
      <c r="X81">
        <v>20.86</v>
      </c>
      <c r="Y81">
        <v>0</v>
      </c>
      <c r="Z81">
        <v>0</v>
      </c>
      <c r="AA81">
        <v>0</v>
      </c>
      <c r="AB81">
        <v>8.74</v>
      </c>
      <c r="AC81">
        <v>0</v>
      </c>
      <c r="AD81">
        <v>1</v>
      </c>
      <c r="AE81">
        <v>1</v>
      </c>
      <c r="AF81" t="s">
        <v>28</v>
      </c>
      <c r="AG81">
        <v>23.988999999999997</v>
      </c>
      <c r="AH81">
        <v>2</v>
      </c>
      <c r="AI81">
        <v>55469221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ROW(Source!A81)</f>
        <v>81</v>
      </c>
      <c r="B82">
        <v>55469246</v>
      </c>
      <c r="C82">
        <v>55469220</v>
      </c>
      <c r="D82">
        <v>37822850</v>
      </c>
      <c r="E82">
        <v>54</v>
      </c>
      <c r="F82">
        <v>1</v>
      </c>
      <c r="G82">
        <v>1</v>
      </c>
      <c r="H82">
        <v>1</v>
      </c>
      <c r="I82" t="s">
        <v>246</v>
      </c>
      <c r="K82" t="s">
        <v>247</v>
      </c>
      <c r="L82">
        <v>1191</v>
      </c>
      <c r="N82">
        <v>1013</v>
      </c>
      <c r="O82" t="s">
        <v>245</v>
      </c>
      <c r="P82" t="s">
        <v>245</v>
      </c>
      <c r="Q82">
        <v>1</v>
      </c>
      <c r="X82">
        <v>18.85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27</v>
      </c>
      <c r="AG82">
        <v>23.5625</v>
      </c>
      <c r="AH82">
        <v>2</v>
      </c>
      <c r="AI82">
        <v>55469222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ROW(Source!A81)</f>
        <v>81</v>
      </c>
      <c r="B83">
        <v>55469247</v>
      </c>
      <c r="C83">
        <v>55469220</v>
      </c>
      <c r="D83">
        <v>44976389</v>
      </c>
      <c r="E83">
        <v>1</v>
      </c>
      <c r="F83">
        <v>1</v>
      </c>
      <c r="G83">
        <v>1</v>
      </c>
      <c r="H83">
        <v>2</v>
      </c>
      <c r="I83" t="s">
        <v>304</v>
      </c>
      <c r="J83" t="s">
        <v>305</v>
      </c>
      <c r="K83" t="s">
        <v>306</v>
      </c>
      <c r="L83">
        <v>1368</v>
      </c>
      <c r="N83">
        <v>1011</v>
      </c>
      <c r="O83" t="s">
        <v>289</v>
      </c>
      <c r="P83" t="s">
        <v>289</v>
      </c>
      <c r="Q83">
        <v>1</v>
      </c>
      <c r="X83">
        <v>2.44</v>
      </c>
      <c r="Y83">
        <v>0</v>
      </c>
      <c r="Z83">
        <v>0.58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27</v>
      </c>
      <c r="AG83">
        <v>3.05</v>
      </c>
      <c r="AH83">
        <v>2</v>
      </c>
      <c r="AI83">
        <v>55469223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ROW(Source!A81)</f>
        <v>81</v>
      </c>
      <c r="B84">
        <v>55469248</v>
      </c>
      <c r="C84">
        <v>55469220</v>
      </c>
      <c r="D84">
        <v>44976423</v>
      </c>
      <c r="E84">
        <v>1</v>
      </c>
      <c r="F84">
        <v>1</v>
      </c>
      <c r="G84">
        <v>1</v>
      </c>
      <c r="H84">
        <v>2</v>
      </c>
      <c r="I84" t="s">
        <v>39</v>
      </c>
      <c r="J84" t="s">
        <v>42</v>
      </c>
      <c r="K84" t="s">
        <v>40</v>
      </c>
      <c r="L84">
        <v>1368</v>
      </c>
      <c r="N84">
        <v>1011</v>
      </c>
      <c r="O84" t="s">
        <v>289</v>
      </c>
      <c r="P84" t="s">
        <v>289</v>
      </c>
      <c r="Q84">
        <v>1</v>
      </c>
      <c r="X84">
        <v>0.55</v>
      </c>
      <c r="Y84">
        <v>0</v>
      </c>
      <c r="Z84">
        <v>89.99</v>
      </c>
      <c r="AA84">
        <v>10.06</v>
      </c>
      <c r="AB84">
        <v>0</v>
      </c>
      <c r="AC84">
        <v>0</v>
      </c>
      <c r="AD84">
        <v>1</v>
      </c>
      <c r="AE84">
        <v>0</v>
      </c>
      <c r="AF84" t="s">
        <v>27</v>
      </c>
      <c r="AG84">
        <v>0.6875</v>
      </c>
      <c r="AH84">
        <v>2</v>
      </c>
      <c r="AI84">
        <v>55469224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ROW(Source!A81)</f>
        <v>81</v>
      </c>
      <c r="B85">
        <v>55469249</v>
      </c>
      <c r="C85">
        <v>55469220</v>
      </c>
      <c r="D85">
        <v>44976638</v>
      </c>
      <c r="E85">
        <v>1</v>
      </c>
      <c r="F85">
        <v>1</v>
      </c>
      <c r="G85">
        <v>1</v>
      </c>
      <c r="H85">
        <v>2</v>
      </c>
      <c r="I85" t="s">
        <v>307</v>
      </c>
      <c r="J85" t="s">
        <v>308</v>
      </c>
      <c r="K85" t="s">
        <v>309</v>
      </c>
      <c r="L85">
        <v>1368</v>
      </c>
      <c r="N85">
        <v>1011</v>
      </c>
      <c r="O85" t="s">
        <v>289</v>
      </c>
      <c r="P85" t="s">
        <v>289</v>
      </c>
      <c r="Q85">
        <v>1</v>
      </c>
      <c r="X85">
        <v>2.04</v>
      </c>
      <c r="Y85">
        <v>0</v>
      </c>
      <c r="Z85">
        <v>694.79</v>
      </c>
      <c r="AA85">
        <v>16.44</v>
      </c>
      <c r="AB85">
        <v>0</v>
      </c>
      <c r="AC85">
        <v>0</v>
      </c>
      <c r="AD85">
        <v>1</v>
      </c>
      <c r="AE85">
        <v>0</v>
      </c>
      <c r="AF85" t="s">
        <v>27</v>
      </c>
      <c r="AG85">
        <v>2.55</v>
      </c>
      <c r="AH85">
        <v>2</v>
      </c>
      <c r="AI85">
        <v>55469225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ROW(Source!A81)</f>
        <v>81</v>
      </c>
      <c r="B86">
        <v>55469250</v>
      </c>
      <c r="C86">
        <v>55469220</v>
      </c>
      <c r="D86">
        <v>44976678</v>
      </c>
      <c r="E86">
        <v>1</v>
      </c>
      <c r="F86">
        <v>1</v>
      </c>
      <c r="G86">
        <v>1</v>
      </c>
      <c r="H86">
        <v>2</v>
      </c>
      <c r="I86" t="s">
        <v>310</v>
      </c>
      <c r="J86" t="s">
        <v>311</v>
      </c>
      <c r="K86" t="s">
        <v>312</v>
      </c>
      <c r="L86">
        <v>1368</v>
      </c>
      <c r="N86">
        <v>1011</v>
      </c>
      <c r="O86" t="s">
        <v>289</v>
      </c>
      <c r="P86" t="s">
        <v>289</v>
      </c>
      <c r="Q86">
        <v>1</v>
      </c>
      <c r="X86">
        <v>2.14</v>
      </c>
      <c r="Y86">
        <v>0</v>
      </c>
      <c r="Z86">
        <v>247.24</v>
      </c>
      <c r="AA86">
        <v>11.6</v>
      </c>
      <c r="AB86">
        <v>0</v>
      </c>
      <c r="AC86">
        <v>0</v>
      </c>
      <c r="AD86">
        <v>1</v>
      </c>
      <c r="AE86">
        <v>0</v>
      </c>
      <c r="AF86" t="s">
        <v>27</v>
      </c>
      <c r="AG86">
        <v>2.6750000000000003</v>
      </c>
      <c r="AH86">
        <v>2</v>
      </c>
      <c r="AI86">
        <v>55469226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ROW(Source!A81)</f>
        <v>81</v>
      </c>
      <c r="B87">
        <v>55469251</v>
      </c>
      <c r="C87">
        <v>55469220</v>
      </c>
      <c r="D87">
        <v>44976706</v>
      </c>
      <c r="E87">
        <v>1</v>
      </c>
      <c r="F87">
        <v>1</v>
      </c>
      <c r="G87">
        <v>1</v>
      </c>
      <c r="H87">
        <v>2</v>
      </c>
      <c r="I87" t="s">
        <v>313</v>
      </c>
      <c r="J87" t="s">
        <v>314</v>
      </c>
      <c r="K87" t="s">
        <v>315</v>
      </c>
      <c r="L87">
        <v>1368</v>
      </c>
      <c r="N87">
        <v>1011</v>
      </c>
      <c r="O87" t="s">
        <v>289</v>
      </c>
      <c r="P87" t="s">
        <v>289</v>
      </c>
      <c r="Q87">
        <v>1</v>
      </c>
      <c r="X87">
        <v>1.51</v>
      </c>
      <c r="Y87">
        <v>0</v>
      </c>
      <c r="Z87">
        <v>216.98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27</v>
      </c>
      <c r="AG87">
        <v>1.8875</v>
      </c>
      <c r="AH87">
        <v>2</v>
      </c>
      <c r="AI87">
        <v>55469227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ROW(Source!A81)</f>
        <v>81</v>
      </c>
      <c r="B88">
        <v>55469252</v>
      </c>
      <c r="C88">
        <v>55469220</v>
      </c>
      <c r="D88">
        <v>44976708</v>
      </c>
      <c r="E88">
        <v>1</v>
      </c>
      <c r="F88">
        <v>1</v>
      </c>
      <c r="G88">
        <v>1</v>
      </c>
      <c r="H88">
        <v>2</v>
      </c>
      <c r="I88" t="s">
        <v>316</v>
      </c>
      <c r="J88" t="s">
        <v>317</v>
      </c>
      <c r="K88" t="s">
        <v>318</v>
      </c>
      <c r="L88">
        <v>1368</v>
      </c>
      <c r="N88">
        <v>1011</v>
      </c>
      <c r="O88" t="s">
        <v>289</v>
      </c>
      <c r="P88" t="s">
        <v>289</v>
      </c>
      <c r="Q88">
        <v>1</v>
      </c>
      <c r="X88">
        <v>2.59</v>
      </c>
      <c r="Y88">
        <v>0</v>
      </c>
      <c r="Z88">
        <v>236.79</v>
      </c>
      <c r="AA88">
        <v>13.5</v>
      </c>
      <c r="AB88">
        <v>0</v>
      </c>
      <c r="AC88">
        <v>0</v>
      </c>
      <c r="AD88">
        <v>1</v>
      </c>
      <c r="AE88">
        <v>0</v>
      </c>
      <c r="AF88" t="s">
        <v>27</v>
      </c>
      <c r="AG88">
        <v>3.2375</v>
      </c>
      <c r="AH88">
        <v>2</v>
      </c>
      <c r="AI88">
        <v>55469228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ROW(Source!A81)</f>
        <v>81</v>
      </c>
      <c r="B89">
        <v>55469253</v>
      </c>
      <c r="C89">
        <v>55469220</v>
      </c>
      <c r="D89">
        <v>44976710</v>
      </c>
      <c r="E89">
        <v>1</v>
      </c>
      <c r="F89">
        <v>1</v>
      </c>
      <c r="G89">
        <v>1</v>
      </c>
      <c r="H89">
        <v>2</v>
      </c>
      <c r="I89" t="s">
        <v>319</v>
      </c>
      <c r="J89" t="s">
        <v>320</v>
      </c>
      <c r="K89" t="s">
        <v>321</v>
      </c>
      <c r="L89">
        <v>1368</v>
      </c>
      <c r="N89">
        <v>1011</v>
      </c>
      <c r="O89" t="s">
        <v>289</v>
      </c>
      <c r="P89" t="s">
        <v>289</v>
      </c>
      <c r="Q89">
        <v>1</v>
      </c>
      <c r="X89">
        <v>0.97</v>
      </c>
      <c r="Y89">
        <v>0</v>
      </c>
      <c r="Z89">
        <v>298.31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27</v>
      </c>
      <c r="AG89">
        <v>1.2125</v>
      </c>
      <c r="AH89">
        <v>2</v>
      </c>
      <c r="AI89">
        <v>55469229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ROW(Source!A81)</f>
        <v>81</v>
      </c>
      <c r="B90">
        <v>55469254</v>
      </c>
      <c r="C90">
        <v>55469220</v>
      </c>
      <c r="D90">
        <v>44976759</v>
      </c>
      <c r="E90">
        <v>1</v>
      </c>
      <c r="F90">
        <v>1</v>
      </c>
      <c r="G90">
        <v>1</v>
      </c>
      <c r="H90">
        <v>2</v>
      </c>
      <c r="I90" t="s">
        <v>322</v>
      </c>
      <c r="J90" t="s">
        <v>323</v>
      </c>
      <c r="K90" t="s">
        <v>324</v>
      </c>
      <c r="L90">
        <v>1368</v>
      </c>
      <c r="N90">
        <v>1011</v>
      </c>
      <c r="O90" t="s">
        <v>289</v>
      </c>
      <c r="P90" t="s">
        <v>289</v>
      </c>
      <c r="Q90">
        <v>1</v>
      </c>
      <c r="X90">
        <v>1.52</v>
      </c>
      <c r="Y90">
        <v>0</v>
      </c>
      <c r="Z90">
        <v>19.04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27</v>
      </c>
      <c r="AG90">
        <v>1.9</v>
      </c>
      <c r="AH90">
        <v>2</v>
      </c>
      <c r="AI90">
        <v>55469230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ROW(Source!A81)</f>
        <v>81</v>
      </c>
      <c r="B91">
        <v>55469255</v>
      </c>
      <c r="C91">
        <v>55469220</v>
      </c>
      <c r="D91">
        <v>44976813</v>
      </c>
      <c r="E91">
        <v>1</v>
      </c>
      <c r="F91">
        <v>1</v>
      </c>
      <c r="G91">
        <v>1</v>
      </c>
      <c r="H91">
        <v>2</v>
      </c>
      <c r="I91" t="s">
        <v>325</v>
      </c>
      <c r="J91" t="s">
        <v>326</v>
      </c>
      <c r="K91" t="s">
        <v>327</v>
      </c>
      <c r="L91">
        <v>1368</v>
      </c>
      <c r="N91">
        <v>1011</v>
      </c>
      <c r="O91" t="s">
        <v>289</v>
      </c>
      <c r="P91" t="s">
        <v>289</v>
      </c>
      <c r="Q91">
        <v>1</v>
      </c>
      <c r="X91">
        <v>2.04</v>
      </c>
      <c r="Y91">
        <v>0</v>
      </c>
      <c r="Z91">
        <v>1503.75</v>
      </c>
      <c r="AA91">
        <v>14.4</v>
      </c>
      <c r="AB91">
        <v>0</v>
      </c>
      <c r="AC91">
        <v>0</v>
      </c>
      <c r="AD91">
        <v>1</v>
      </c>
      <c r="AE91">
        <v>0</v>
      </c>
      <c r="AF91" t="s">
        <v>27</v>
      </c>
      <c r="AG91">
        <v>2.55</v>
      </c>
      <c r="AH91">
        <v>2</v>
      </c>
      <c r="AI91">
        <v>55469231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ROW(Source!A81)</f>
        <v>81</v>
      </c>
      <c r="B92">
        <v>55469256</v>
      </c>
      <c r="C92">
        <v>55469220</v>
      </c>
      <c r="D92">
        <v>44976814</v>
      </c>
      <c r="E92">
        <v>1</v>
      </c>
      <c r="F92">
        <v>1</v>
      </c>
      <c r="G92">
        <v>1</v>
      </c>
      <c r="H92">
        <v>2</v>
      </c>
      <c r="I92" t="s">
        <v>328</v>
      </c>
      <c r="J92" t="s">
        <v>329</v>
      </c>
      <c r="K92" t="s">
        <v>330</v>
      </c>
      <c r="L92">
        <v>1368</v>
      </c>
      <c r="N92">
        <v>1011</v>
      </c>
      <c r="O92" t="s">
        <v>289</v>
      </c>
      <c r="P92" t="s">
        <v>289</v>
      </c>
      <c r="Q92">
        <v>1</v>
      </c>
      <c r="X92">
        <v>2.04</v>
      </c>
      <c r="Y92">
        <v>0</v>
      </c>
      <c r="Z92">
        <v>19.4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27</v>
      </c>
      <c r="AG92">
        <v>2.55</v>
      </c>
      <c r="AH92">
        <v>2</v>
      </c>
      <c r="AI92">
        <v>55469232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ROW(Source!A81)</f>
        <v>81</v>
      </c>
      <c r="B93">
        <v>55469257</v>
      </c>
      <c r="C93">
        <v>55469220</v>
      </c>
      <c r="D93">
        <v>44977227</v>
      </c>
      <c r="E93">
        <v>1</v>
      </c>
      <c r="F93">
        <v>1</v>
      </c>
      <c r="G93">
        <v>1</v>
      </c>
      <c r="H93">
        <v>2</v>
      </c>
      <c r="I93" t="s">
        <v>254</v>
      </c>
      <c r="J93" t="s">
        <v>255</v>
      </c>
      <c r="K93" t="s">
        <v>256</v>
      </c>
      <c r="L93">
        <v>1368</v>
      </c>
      <c r="N93">
        <v>1011</v>
      </c>
      <c r="O93" t="s">
        <v>289</v>
      </c>
      <c r="P93" t="s">
        <v>289</v>
      </c>
      <c r="Q93">
        <v>1</v>
      </c>
      <c r="X93">
        <v>3.1</v>
      </c>
      <c r="Y93">
        <v>0</v>
      </c>
      <c r="Z93">
        <v>110</v>
      </c>
      <c r="AA93">
        <v>11.6</v>
      </c>
      <c r="AB93">
        <v>0</v>
      </c>
      <c r="AC93">
        <v>0</v>
      </c>
      <c r="AD93">
        <v>1</v>
      </c>
      <c r="AE93">
        <v>0</v>
      </c>
      <c r="AF93" t="s">
        <v>27</v>
      </c>
      <c r="AG93">
        <v>3.875</v>
      </c>
      <c r="AH93">
        <v>2</v>
      </c>
      <c r="AI93">
        <v>55469233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ROW(Source!A81)</f>
        <v>81</v>
      </c>
      <c r="B94">
        <v>55469258</v>
      </c>
      <c r="C94">
        <v>55469220</v>
      </c>
      <c r="D94">
        <v>44977264</v>
      </c>
      <c r="E94">
        <v>1</v>
      </c>
      <c r="F94">
        <v>1</v>
      </c>
      <c r="G94">
        <v>1</v>
      </c>
      <c r="H94">
        <v>2</v>
      </c>
      <c r="I94" t="s">
        <v>331</v>
      </c>
      <c r="J94" t="s">
        <v>332</v>
      </c>
      <c r="K94" t="s">
        <v>333</v>
      </c>
      <c r="L94">
        <v>1368</v>
      </c>
      <c r="N94">
        <v>1011</v>
      </c>
      <c r="O94" t="s">
        <v>289</v>
      </c>
      <c r="P94" t="s">
        <v>289</v>
      </c>
      <c r="Q94">
        <v>1</v>
      </c>
      <c r="X94">
        <v>0.2</v>
      </c>
      <c r="Y94">
        <v>0</v>
      </c>
      <c r="Z94">
        <v>92.86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27</v>
      </c>
      <c r="AG94">
        <v>0.25</v>
      </c>
      <c r="AH94">
        <v>2</v>
      </c>
      <c r="AI94">
        <v>55469234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ROW(Source!A81)</f>
        <v>81</v>
      </c>
      <c r="B95">
        <v>55469259</v>
      </c>
      <c r="C95">
        <v>55469220</v>
      </c>
      <c r="D95">
        <v>44977523</v>
      </c>
      <c r="E95">
        <v>1</v>
      </c>
      <c r="F95">
        <v>1</v>
      </c>
      <c r="G95">
        <v>1</v>
      </c>
      <c r="H95">
        <v>2</v>
      </c>
      <c r="I95" t="s">
        <v>334</v>
      </c>
      <c r="J95" t="s">
        <v>335</v>
      </c>
      <c r="K95" t="s">
        <v>336</v>
      </c>
      <c r="L95">
        <v>1368</v>
      </c>
      <c r="N95">
        <v>1011</v>
      </c>
      <c r="O95" t="s">
        <v>289</v>
      </c>
      <c r="P95" t="s">
        <v>289</v>
      </c>
      <c r="Q95">
        <v>1</v>
      </c>
      <c r="X95">
        <v>3.71</v>
      </c>
      <c r="Y95">
        <v>0</v>
      </c>
      <c r="Z95">
        <v>203.2</v>
      </c>
      <c r="AA95">
        <v>10.06</v>
      </c>
      <c r="AB95">
        <v>0</v>
      </c>
      <c r="AC95">
        <v>0</v>
      </c>
      <c r="AD95">
        <v>1</v>
      </c>
      <c r="AE95">
        <v>0</v>
      </c>
      <c r="AF95" t="s">
        <v>27</v>
      </c>
      <c r="AG95">
        <v>4.6375</v>
      </c>
      <c r="AH95">
        <v>2</v>
      </c>
      <c r="AI95">
        <v>55469235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ROW(Source!A81)</f>
        <v>81</v>
      </c>
      <c r="B96">
        <v>55469260</v>
      </c>
      <c r="C96">
        <v>55469220</v>
      </c>
      <c r="D96">
        <v>44978015</v>
      </c>
      <c r="E96">
        <v>1</v>
      </c>
      <c r="F96">
        <v>1</v>
      </c>
      <c r="G96">
        <v>1</v>
      </c>
      <c r="H96">
        <v>2</v>
      </c>
      <c r="I96" t="s">
        <v>279</v>
      </c>
      <c r="J96" t="s">
        <v>280</v>
      </c>
      <c r="K96" t="s">
        <v>281</v>
      </c>
      <c r="L96">
        <v>1368</v>
      </c>
      <c r="N96">
        <v>1011</v>
      </c>
      <c r="O96" t="s">
        <v>289</v>
      </c>
      <c r="P96" t="s">
        <v>289</v>
      </c>
      <c r="Q96">
        <v>1</v>
      </c>
      <c r="X96">
        <v>1.15</v>
      </c>
      <c r="Y96">
        <v>0</v>
      </c>
      <c r="Z96">
        <v>1.53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27</v>
      </c>
      <c r="AG96">
        <v>1.4375</v>
      </c>
      <c r="AH96">
        <v>2</v>
      </c>
      <c r="AI96">
        <v>55469236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ROW(Source!A81)</f>
        <v>81</v>
      </c>
      <c r="B97">
        <v>55469261</v>
      </c>
      <c r="C97">
        <v>55469220</v>
      </c>
      <c r="D97">
        <v>44810508</v>
      </c>
      <c r="E97">
        <v>1</v>
      </c>
      <c r="F97">
        <v>1</v>
      </c>
      <c r="G97">
        <v>1</v>
      </c>
      <c r="H97">
        <v>3</v>
      </c>
      <c r="I97" t="s">
        <v>337</v>
      </c>
      <c r="J97" t="s">
        <v>338</v>
      </c>
      <c r="K97" t="s">
        <v>339</v>
      </c>
      <c r="L97">
        <v>1348</v>
      </c>
      <c r="N97">
        <v>1009</v>
      </c>
      <c r="O97" t="s">
        <v>138</v>
      </c>
      <c r="P97" t="s">
        <v>138</v>
      </c>
      <c r="Q97">
        <v>1000</v>
      </c>
      <c r="X97">
        <v>0.004</v>
      </c>
      <c r="Y97">
        <v>1554.2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0.004</v>
      </c>
      <c r="AH97">
        <v>2</v>
      </c>
      <c r="AI97">
        <v>55469237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ROW(Source!A81)</f>
        <v>81</v>
      </c>
      <c r="B98">
        <v>55469262</v>
      </c>
      <c r="C98">
        <v>55469220</v>
      </c>
      <c r="D98">
        <v>44812338</v>
      </c>
      <c r="E98">
        <v>1</v>
      </c>
      <c r="F98">
        <v>1</v>
      </c>
      <c r="G98">
        <v>1</v>
      </c>
      <c r="H98">
        <v>3</v>
      </c>
      <c r="I98" t="s">
        <v>340</v>
      </c>
      <c r="J98" t="s">
        <v>341</v>
      </c>
      <c r="K98" t="s">
        <v>342</v>
      </c>
      <c r="L98">
        <v>1339</v>
      </c>
      <c r="N98">
        <v>1007</v>
      </c>
      <c r="O98" t="s">
        <v>269</v>
      </c>
      <c r="P98" t="s">
        <v>269</v>
      </c>
      <c r="Q98">
        <v>1</v>
      </c>
      <c r="X98">
        <v>20.52</v>
      </c>
      <c r="Y98">
        <v>3.15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20.52</v>
      </c>
      <c r="AH98">
        <v>2</v>
      </c>
      <c r="AI98">
        <v>55469238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ROW(Source!A81)</f>
        <v>81</v>
      </c>
      <c r="B99">
        <v>55469263</v>
      </c>
      <c r="C99">
        <v>55469220</v>
      </c>
      <c r="D99">
        <v>44812972</v>
      </c>
      <c r="E99">
        <v>1</v>
      </c>
      <c r="F99">
        <v>1</v>
      </c>
      <c r="G99">
        <v>1</v>
      </c>
      <c r="H99">
        <v>3</v>
      </c>
      <c r="I99" t="s">
        <v>343</v>
      </c>
      <c r="J99" t="s">
        <v>344</v>
      </c>
      <c r="K99" t="s">
        <v>345</v>
      </c>
      <c r="L99">
        <v>1348</v>
      </c>
      <c r="N99">
        <v>1009</v>
      </c>
      <c r="O99" t="s">
        <v>138</v>
      </c>
      <c r="P99" t="s">
        <v>138</v>
      </c>
      <c r="Q99">
        <v>1000</v>
      </c>
      <c r="X99">
        <v>0.0024</v>
      </c>
      <c r="Y99">
        <v>40650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0.0024</v>
      </c>
      <c r="AH99">
        <v>2</v>
      </c>
      <c r="AI99">
        <v>55469239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ROW(Source!A81)</f>
        <v>81</v>
      </c>
      <c r="B100">
        <v>55469264</v>
      </c>
      <c r="C100">
        <v>55469220</v>
      </c>
      <c r="D100">
        <v>44815052</v>
      </c>
      <c r="E100">
        <v>1</v>
      </c>
      <c r="F100">
        <v>1</v>
      </c>
      <c r="G100">
        <v>1</v>
      </c>
      <c r="H100">
        <v>3</v>
      </c>
      <c r="I100" t="s">
        <v>346</v>
      </c>
      <c r="J100" t="s">
        <v>347</v>
      </c>
      <c r="K100" t="s">
        <v>348</v>
      </c>
      <c r="L100">
        <v>1348</v>
      </c>
      <c r="N100">
        <v>1009</v>
      </c>
      <c r="O100" t="s">
        <v>138</v>
      </c>
      <c r="P100" t="s">
        <v>138</v>
      </c>
      <c r="Q100">
        <v>1000</v>
      </c>
      <c r="X100">
        <v>0.012</v>
      </c>
      <c r="Y100">
        <v>10068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0.012</v>
      </c>
      <c r="AH100">
        <v>2</v>
      </c>
      <c r="AI100">
        <v>55469240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ROW(Source!A81)</f>
        <v>81</v>
      </c>
      <c r="B101">
        <v>55469265</v>
      </c>
      <c r="C101">
        <v>55469220</v>
      </c>
      <c r="D101">
        <v>44815737</v>
      </c>
      <c r="E101">
        <v>1</v>
      </c>
      <c r="F101">
        <v>1</v>
      </c>
      <c r="G101">
        <v>1</v>
      </c>
      <c r="H101">
        <v>3</v>
      </c>
      <c r="I101" t="s">
        <v>349</v>
      </c>
      <c r="J101" t="s">
        <v>350</v>
      </c>
      <c r="K101" t="s">
        <v>351</v>
      </c>
      <c r="L101">
        <v>1371</v>
      </c>
      <c r="N101">
        <v>1013</v>
      </c>
      <c r="O101" t="s">
        <v>129</v>
      </c>
      <c r="P101" t="s">
        <v>129</v>
      </c>
      <c r="Q101">
        <v>1</v>
      </c>
      <c r="X101">
        <v>0.782</v>
      </c>
      <c r="Y101">
        <v>737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0.782</v>
      </c>
      <c r="AH101">
        <v>2</v>
      </c>
      <c r="AI101">
        <v>55469241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ROW(Source!A81)</f>
        <v>81</v>
      </c>
      <c r="B102">
        <v>55469266</v>
      </c>
      <c r="C102">
        <v>55469220</v>
      </c>
      <c r="D102">
        <v>44801271</v>
      </c>
      <c r="E102">
        <v>54</v>
      </c>
      <c r="F102">
        <v>1</v>
      </c>
      <c r="G102">
        <v>1</v>
      </c>
      <c r="H102">
        <v>3</v>
      </c>
      <c r="I102" t="s">
        <v>363</v>
      </c>
      <c r="K102" t="s">
        <v>364</v>
      </c>
      <c r="L102">
        <v>1348</v>
      </c>
      <c r="N102">
        <v>1009</v>
      </c>
      <c r="O102" t="s">
        <v>138</v>
      </c>
      <c r="P102" t="s">
        <v>138</v>
      </c>
      <c r="Q102">
        <v>1000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G102">
        <v>0</v>
      </c>
      <c r="AH102">
        <v>3</v>
      </c>
      <c r="AI102">
        <v>-1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ROW(Source!A81)</f>
        <v>81</v>
      </c>
      <c r="B103">
        <v>55469267</v>
      </c>
      <c r="C103">
        <v>55469220</v>
      </c>
      <c r="D103">
        <v>44832417</v>
      </c>
      <c r="E103">
        <v>1</v>
      </c>
      <c r="F103">
        <v>1</v>
      </c>
      <c r="G103">
        <v>1</v>
      </c>
      <c r="H103">
        <v>3</v>
      </c>
      <c r="I103" t="s">
        <v>352</v>
      </c>
      <c r="J103" t="s">
        <v>353</v>
      </c>
      <c r="K103" t="s">
        <v>354</v>
      </c>
      <c r="L103">
        <v>1348</v>
      </c>
      <c r="N103">
        <v>1009</v>
      </c>
      <c r="O103" t="s">
        <v>138</v>
      </c>
      <c r="P103" t="s">
        <v>138</v>
      </c>
      <c r="Q103">
        <v>1000</v>
      </c>
      <c r="X103">
        <v>0.0008</v>
      </c>
      <c r="Y103">
        <v>5989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0.0008</v>
      </c>
      <c r="AH103">
        <v>2</v>
      </c>
      <c r="AI103">
        <v>55469243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ROW(Source!A81)</f>
        <v>81</v>
      </c>
      <c r="B104">
        <v>55469268</v>
      </c>
      <c r="C104">
        <v>55469220</v>
      </c>
      <c r="D104">
        <v>44835312</v>
      </c>
      <c r="E104">
        <v>1</v>
      </c>
      <c r="F104">
        <v>1</v>
      </c>
      <c r="G104">
        <v>1</v>
      </c>
      <c r="H104">
        <v>3</v>
      </c>
      <c r="I104" t="s">
        <v>355</v>
      </c>
      <c r="J104" t="s">
        <v>356</v>
      </c>
      <c r="K104" t="s">
        <v>357</v>
      </c>
      <c r="L104">
        <v>1348</v>
      </c>
      <c r="N104">
        <v>1009</v>
      </c>
      <c r="O104" t="s">
        <v>138</v>
      </c>
      <c r="P104" t="s">
        <v>138</v>
      </c>
      <c r="Q104">
        <v>1000</v>
      </c>
      <c r="X104">
        <v>0.0008</v>
      </c>
      <c r="Y104">
        <v>5520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0.0008</v>
      </c>
      <c r="AH104">
        <v>2</v>
      </c>
      <c r="AI104">
        <v>55469244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ROW(Source!A84)</f>
        <v>84</v>
      </c>
      <c r="B105">
        <v>55469282</v>
      </c>
      <c r="C105">
        <v>55469270</v>
      </c>
      <c r="D105">
        <v>37822912</v>
      </c>
      <c r="E105">
        <v>54</v>
      </c>
      <c r="F105">
        <v>1</v>
      </c>
      <c r="G105">
        <v>1</v>
      </c>
      <c r="H105">
        <v>1</v>
      </c>
      <c r="I105" t="s">
        <v>358</v>
      </c>
      <c r="K105" t="s">
        <v>359</v>
      </c>
      <c r="L105">
        <v>1191</v>
      </c>
      <c r="N105">
        <v>1013</v>
      </c>
      <c r="O105" t="s">
        <v>245</v>
      </c>
      <c r="P105" t="s">
        <v>245</v>
      </c>
      <c r="Q105">
        <v>1</v>
      </c>
      <c r="X105">
        <v>0.35</v>
      </c>
      <c r="Y105">
        <v>0</v>
      </c>
      <c r="Z105">
        <v>0</v>
      </c>
      <c r="AA105">
        <v>0</v>
      </c>
      <c r="AB105">
        <v>9.4</v>
      </c>
      <c r="AC105">
        <v>0</v>
      </c>
      <c r="AD105">
        <v>1</v>
      </c>
      <c r="AE105">
        <v>1</v>
      </c>
      <c r="AF105" t="s">
        <v>146</v>
      </c>
      <c r="AG105">
        <v>0.8049999999999999</v>
      </c>
      <c r="AH105">
        <v>2</v>
      </c>
      <c r="AI105">
        <v>55469271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ROW(Source!A84)</f>
        <v>84</v>
      </c>
      <c r="B106">
        <v>55469283</v>
      </c>
      <c r="C106">
        <v>55469270</v>
      </c>
      <c r="D106">
        <v>37822850</v>
      </c>
      <c r="E106">
        <v>54</v>
      </c>
      <c r="F106">
        <v>1</v>
      </c>
      <c r="G106">
        <v>1</v>
      </c>
      <c r="H106">
        <v>1</v>
      </c>
      <c r="I106" t="s">
        <v>246</v>
      </c>
      <c r="K106" t="s">
        <v>247</v>
      </c>
      <c r="L106">
        <v>1191</v>
      </c>
      <c r="N106">
        <v>1013</v>
      </c>
      <c r="O106" t="s">
        <v>245</v>
      </c>
      <c r="P106" t="s">
        <v>245</v>
      </c>
      <c r="Q106">
        <v>1</v>
      </c>
      <c r="X106">
        <v>0.47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145</v>
      </c>
      <c r="AG106">
        <v>1.1749999999999998</v>
      </c>
      <c r="AH106">
        <v>2</v>
      </c>
      <c r="AI106">
        <v>55469272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ROW(Source!A84)</f>
        <v>84</v>
      </c>
      <c r="B107">
        <v>55469284</v>
      </c>
      <c r="C107">
        <v>55469270</v>
      </c>
      <c r="D107">
        <v>44976423</v>
      </c>
      <c r="E107">
        <v>1</v>
      </c>
      <c r="F107">
        <v>1</v>
      </c>
      <c r="G107">
        <v>1</v>
      </c>
      <c r="H107">
        <v>2</v>
      </c>
      <c r="I107" t="s">
        <v>39</v>
      </c>
      <c r="J107" t="s">
        <v>42</v>
      </c>
      <c r="K107" t="s">
        <v>40</v>
      </c>
      <c r="L107">
        <v>1368</v>
      </c>
      <c r="N107">
        <v>1011</v>
      </c>
      <c r="O107" t="s">
        <v>289</v>
      </c>
      <c r="P107" t="s">
        <v>289</v>
      </c>
      <c r="Q107">
        <v>1</v>
      </c>
      <c r="X107">
        <v>0.11</v>
      </c>
      <c r="Y107">
        <v>0</v>
      </c>
      <c r="Z107">
        <v>89.99</v>
      </c>
      <c r="AA107">
        <v>10.06</v>
      </c>
      <c r="AB107">
        <v>0</v>
      </c>
      <c r="AC107">
        <v>0</v>
      </c>
      <c r="AD107">
        <v>1</v>
      </c>
      <c r="AE107">
        <v>0</v>
      </c>
      <c r="AF107" t="s">
        <v>145</v>
      </c>
      <c r="AG107">
        <v>0.275</v>
      </c>
      <c r="AH107">
        <v>2</v>
      </c>
      <c r="AI107">
        <v>55469273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ROW(Source!A84)</f>
        <v>84</v>
      </c>
      <c r="B108">
        <v>55469285</v>
      </c>
      <c r="C108">
        <v>55469270</v>
      </c>
      <c r="D108">
        <v>44976638</v>
      </c>
      <c r="E108">
        <v>1</v>
      </c>
      <c r="F108">
        <v>1</v>
      </c>
      <c r="G108">
        <v>1</v>
      </c>
      <c r="H108">
        <v>2</v>
      </c>
      <c r="I108" t="s">
        <v>307</v>
      </c>
      <c r="J108" t="s">
        <v>308</v>
      </c>
      <c r="K108" t="s">
        <v>309</v>
      </c>
      <c r="L108">
        <v>1368</v>
      </c>
      <c r="N108">
        <v>1011</v>
      </c>
      <c r="O108" t="s">
        <v>289</v>
      </c>
      <c r="P108" t="s">
        <v>289</v>
      </c>
      <c r="Q108">
        <v>1</v>
      </c>
      <c r="X108">
        <v>0.1</v>
      </c>
      <c r="Y108">
        <v>0</v>
      </c>
      <c r="Z108">
        <v>694.79</v>
      </c>
      <c r="AA108">
        <v>16.44</v>
      </c>
      <c r="AB108">
        <v>0</v>
      </c>
      <c r="AC108">
        <v>0</v>
      </c>
      <c r="AD108">
        <v>1</v>
      </c>
      <c r="AE108">
        <v>0</v>
      </c>
      <c r="AF108" t="s">
        <v>145</v>
      </c>
      <c r="AG108">
        <v>0.25</v>
      </c>
      <c r="AH108">
        <v>2</v>
      </c>
      <c r="AI108">
        <v>55469274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ROW(Source!A84)</f>
        <v>84</v>
      </c>
      <c r="B109">
        <v>55469286</v>
      </c>
      <c r="C109">
        <v>55469270</v>
      </c>
      <c r="D109">
        <v>44976813</v>
      </c>
      <c r="E109">
        <v>1</v>
      </c>
      <c r="F109">
        <v>1</v>
      </c>
      <c r="G109">
        <v>1</v>
      </c>
      <c r="H109">
        <v>2</v>
      </c>
      <c r="I109" t="s">
        <v>325</v>
      </c>
      <c r="J109" t="s">
        <v>326</v>
      </c>
      <c r="K109" t="s">
        <v>327</v>
      </c>
      <c r="L109">
        <v>1368</v>
      </c>
      <c r="N109">
        <v>1011</v>
      </c>
      <c r="O109" t="s">
        <v>289</v>
      </c>
      <c r="P109" t="s">
        <v>289</v>
      </c>
      <c r="Q109">
        <v>1</v>
      </c>
      <c r="X109">
        <v>0.1</v>
      </c>
      <c r="Y109">
        <v>0</v>
      </c>
      <c r="Z109">
        <v>1503.75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145</v>
      </c>
      <c r="AG109">
        <v>0.25</v>
      </c>
      <c r="AH109">
        <v>2</v>
      </c>
      <c r="AI109">
        <v>55469275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ROW(Source!A84)</f>
        <v>84</v>
      </c>
      <c r="B110">
        <v>55469287</v>
      </c>
      <c r="C110">
        <v>55469270</v>
      </c>
      <c r="D110">
        <v>44976814</v>
      </c>
      <c r="E110">
        <v>1</v>
      </c>
      <c r="F110">
        <v>1</v>
      </c>
      <c r="G110">
        <v>1</v>
      </c>
      <c r="H110">
        <v>2</v>
      </c>
      <c r="I110" t="s">
        <v>328</v>
      </c>
      <c r="J110" t="s">
        <v>329</v>
      </c>
      <c r="K110" t="s">
        <v>330</v>
      </c>
      <c r="L110">
        <v>1368</v>
      </c>
      <c r="N110">
        <v>1011</v>
      </c>
      <c r="O110" t="s">
        <v>289</v>
      </c>
      <c r="P110" t="s">
        <v>289</v>
      </c>
      <c r="Q110">
        <v>1</v>
      </c>
      <c r="X110">
        <v>0.1</v>
      </c>
      <c r="Y110">
        <v>0</v>
      </c>
      <c r="Z110">
        <v>19.4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145</v>
      </c>
      <c r="AG110">
        <v>0.25</v>
      </c>
      <c r="AH110">
        <v>2</v>
      </c>
      <c r="AI110">
        <v>55469276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ROW(Source!A84)</f>
        <v>84</v>
      </c>
      <c r="B111">
        <v>55469288</v>
      </c>
      <c r="C111">
        <v>55469270</v>
      </c>
      <c r="D111">
        <v>44977227</v>
      </c>
      <c r="E111">
        <v>1</v>
      </c>
      <c r="F111">
        <v>1</v>
      </c>
      <c r="G111">
        <v>1</v>
      </c>
      <c r="H111">
        <v>2</v>
      </c>
      <c r="I111" t="s">
        <v>254</v>
      </c>
      <c r="J111" t="s">
        <v>255</v>
      </c>
      <c r="K111" t="s">
        <v>256</v>
      </c>
      <c r="L111">
        <v>1368</v>
      </c>
      <c r="N111">
        <v>1011</v>
      </c>
      <c r="O111" t="s">
        <v>289</v>
      </c>
      <c r="P111" t="s">
        <v>289</v>
      </c>
      <c r="Q111">
        <v>1</v>
      </c>
      <c r="X111">
        <v>0.1</v>
      </c>
      <c r="Y111">
        <v>0</v>
      </c>
      <c r="Z111">
        <v>110</v>
      </c>
      <c r="AA111">
        <v>11.6</v>
      </c>
      <c r="AB111">
        <v>0</v>
      </c>
      <c r="AC111">
        <v>0</v>
      </c>
      <c r="AD111">
        <v>1</v>
      </c>
      <c r="AE111">
        <v>0</v>
      </c>
      <c r="AF111" t="s">
        <v>145</v>
      </c>
      <c r="AG111">
        <v>0.25</v>
      </c>
      <c r="AH111">
        <v>2</v>
      </c>
      <c r="AI111">
        <v>55469277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ROW(Source!A84)</f>
        <v>84</v>
      </c>
      <c r="B112">
        <v>55469289</v>
      </c>
      <c r="C112">
        <v>55469270</v>
      </c>
      <c r="D112">
        <v>44977523</v>
      </c>
      <c r="E112">
        <v>1</v>
      </c>
      <c r="F112">
        <v>1</v>
      </c>
      <c r="G112">
        <v>1</v>
      </c>
      <c r="H112">
        <v>2</v>
      </c>
      <c r="I112" t="s">
        <v>334</v>
      </c>
      <c r="J112" t="s">
        <v>335</v>
      </c>
      <c r="K112" t="s">
        <v>336</v>
      </c>
      <c r="L112">
        <v>1368</v>
      </c>
      <c r="N112">
        <v>1011</v>
      </c>
      <c r="O112" t="s">
        <v>289</v>
      </c>
      <c r="P112" t="s">
        <v>289</v>
      </c>
      <c r="Q112">
        <v>1</v>
      </c>
      <c r="X112">
        <v>0.06</v>
      </c>
      <c r="Y112">
        <v>0</v>
      </c>
      <c r="Z112">
        <v>203.2</v>
      </c>
      <c r="AA112">
        <v>10.06</v>
      </c>
      <c r="AB112">
        <v>0</v>
      </c>
      <c r="AC112">
        <v>0</v>
      </c>
      <c r="AD112">
        <v>1</v>
      </c>
      <c r="AE112">
        <v>0</v>
      </c>
      <c r="AF112" t="s">
        <v>145</v>
      </c>
      <c r="AG112">
        <v>0.15</v>
      </c>
      <c r="AH112">
        <v>2</v>
      </c>
      <c r="AI112">
        <v>55469278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ROW(Source!A84)</f>
        <v>84</v>
      </c>
      <c r="B113">
        <v>55469290</v>
      </c>
      <c r="C113">
        <v>55469270</v>
      </c>
      <c r="D113">
        <v>44810508</v>
      </c>
      <c r="E113">
        <v>1</v>
      </c>
      <c r="F113">
        <v>1</v>
      </c>
      <c r="G113">
        <v>1</v>
      </c>
      <c r="H113">
        <v>3</v>
      </c>
      <c r="I113" t="s">
        <v>337</v>
      </c>
      <c r="J113" t="s">
        <v>338</v>
      </c>
      <c r="K113" t="s">
        <v>339</v>
      </c>
      <c r="L113">
        <v>1348</v>
      </c>
      <c r="N113">
        <v>1009</v>
      </c>
      <c r="O113" t="s">
        <v>138</v>
      </c>
      <c r="P113" t="s">
        <v>138</v>
      </c>
      <c r="Q113">
        <v>1000</v>
      </c>
      <c r="X113">
        <v>0.001</v>
      </c>
      <c r="Y113">
        <v>1554.2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144</v>
      </c>
      <c r="AG113">
        <v>0.002</v>
      </c>
      <c r="AH113">
        <v>2</v>
      </c>
      <c r="AI113">
        <v>55469279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ROW(Source!A84)</f>
        <v>84</v>
      </c>
      <c r="B114">
        <v>55469291</v>
      </c>
      <c r="C114">
        <v>55469270</v>
      </c>
      <c r="D114">
        <v>44812338</v>
      </c>
      <c r="E114">
        <v>1</v>
      </c>
      <c r="F114">
        <v>1</v>
      </c>
      <c r="G114">
        <v>1</v>
      </c>
      <c r="H114">
        <v>3</v>
      </c>
      <c r="I114" t="s">
        <v>340</v>
      </c>
      <c r="J114" t="s">
        <v>341</v>
      </c>
      <c r="K114" t="s">
        <v>342</v>
      </c>
      <c r="L114">
        <v>1339</v>
      </c>
      <c r="N114">
        <v>1007</v>
      </c>
      <c r="O114" t="s">
        <v>269</v>
      </c>
      <c r="P114" t="s">
        <v>269</v>
      </c>
      <c r="Q114">
        <v>1</v>
      </c>
      <c r="X114">
        <v>0.44</v>
      </c>
      <c r="Y114">
        <v>3.15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144</v>
      </c>
      <c r="AG114">
        <v>0.88</v>
      </c>
      <c r="AH114">
        <v>2</v>
      </c>
      <c r="AI114">
        <v>55469280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ROW(Source!A84)</f>
        <v>84</v>
      </c>
      <c r="B115">
        <v>55469292</v>
      </c>
      <c r="C115">
        <v>55469270</v>
      </c>
      <c r="D115">
        <v>44801271</v>
      </c>
      <c r="E115">
        <v>54</v>
      </c>
      <c r="F115">
        <v>1</v>
      </c>
      <c r="G115">
        <v>1</v>
      </c>
      <c r="H115">
        <v>3</v>
      </c>
      <c r="I115" t="s">
        <v>363</v>
      </c>
      <c r="K115" t="s">
        <v>364</v>
      </c>
      <c r="L115">
        <v>1348</v>
      </c>
      <c r="N115">
        <v>1009</v>
      </c>
      <c r="O115" t="s">
        <v>138</v>
      </c>
      <c r="P115" t="s">
        <v>138</v>
      </c>
      <c r="Q115">
        <v>1000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F115" t="s">
        <v>144</v>
      </c>
      <c r="AG115">
        <v>0</v>
      </c>
      <c r="AH115">
        <v>3</v>
      </c>
      <c r="AI115">
        <v>-1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ROW(Source!A85)</f>
        <v>85</v>
      </c>
      <c r="B116">
        <v>55469282</v>
      </c>
      <c r="C116">
        <v>55469270</v>
      </c>
      <c r="D116">
        <v>37822912</v>
      </c>
      <c r="E116">
        <v>54</v>
      </c>
      <c r="F116">
        <v>1</v>
      </c>
      <c r="G116">
        <v>1</v>
      </c>
      <c r="H116">
        <v>1</v>
      </c>
      <c r="I116" t="s">
        <v>358</v>
      </c>
      <c r="K116" t="s">
        <v>359</v>
      </c>
      <c r="L116">
        <v>1191</v>
      </c>
      <c r="N116">
        <v>1013</v>
      </c>
      <c r="O116" t="s">
        <v>245</v>
      </c>
      <c r="P116" t="s">
        <v>245</v>
      </c>
      <c r="Q116">
        <v>1</v>
      </c>
      <c r="X116">
        <v>0.35</v>
      </c>
      <c r="Y116">
        <v>0</v>
      </c>
      <c r="Z116">
        <v>0</v>
      </c>
      <c r="AA116">
        <v>0</v>
      </c>
      <c r="AB116">
        <v>9.4</v>
      </c>
      <c r="AC116">
        <v>0</v>
      </c>
      <c r="AD116">
        <v>1</v>
      </c>
      <c r="AE116">
        <v>1</v>
      </c>
      <c r="AF116" t="s">
        <v>146</v>
      </c>
      <c r="AG116">
        <v>0.8049999999999999</v>
      </c>
      <c r="AH116">
        <v>2</v>
      </c>
      <c r="AI116">
        <v>55469271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ROW(Source!A85)</f>
        <v>85</v>
      </c>
      <c r="B117">
        <v>55469283</v>
      </c>
      <c r="C117">
        <v>55469270</v>
      </c>
      <c r="D117">
        <v>37822850</v>
      </c>
      <c r="E117">
        <v>54</v>
      </c>
      <c r="F117">
        <v>1</v>
      </c>
      <c r="G117">
        <v>1</v>
      </c>
      <c r="H117">
        <v>1</v>
      </c>
      <c r="I117" t="s">
        <v>246</v>
      </c>
      <c r="K117" t="s">
        <v>247</v>
      </c>
      <c r="L117">
        <v>1191</v>
      </c>
      <c r="N117">
        <v>1013</v>
      </c>
      <c r="O117" t="s">
        <v>245</v>
      </c>
      <c r="P117" t="s">
        <v>245</v>
      </c>
      <c r="Q117">
        <v>1</v>
      </c>
      <c r="X117">
        <v>0.47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2</v>
      </c>
      <c r="AF117" t="s">
        <v>145</v>
      </c>
      <c r="AG117">
        <v>1.1749999999999998</v>
      </c>
      <c r="AH117">
        <v>2</v>
      </c>
      <c r="AI117">
        <v>55469272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ROW(Source!A85)</f>
        <v>85</v>
      </c>
      <c r="B118">
        <v>55469284</v>
      </c>
      <c r="C118">
        <v>55469270</v>
      </c>
      <c r="D118">
        <v>44976423</v>
      </c>
      <c r="E118">
        <v>1</v>
      </c>
      <c r="F118">
        <v>1</v>
      </c>
      <c r="G118">
        <v>1</v>
      </c>
      <c r="H118">
        <v>2</v>
      </c>
      <c r="I118" t="s">
        <v>39</v>
      </c>
      <c r="J118" t="s">
        <v>42</v>
      </c>
      <c r="K118" t="s">
        <v>40</v>
      </c>
      <c r="L118">
        <v>1368</v>
      </c>
      <c r="N118">
        <v>1011</v>
      </c>
      <c r="O118" t="s">
        <v>289</v>
      </c>
      <c r="P118" t="s">
        <v>289</v>
      </c>
      <c r="Q118">
        <v>1</v>
      </c>
      <c r="X118">
        <v>0.11</v>
      </c>
      <c r="Y118">
        <v>0</v>
      </c>
      <c r="Z118">
        <v>89.99</v>
      </c>
      <c r="AA118">
        <v>10.06</v>
      </c>
      <c r="AB118">
        <v>0</v>
      </c>
      <c r="AC118">
        <v>0</v>
      </c>
      <c r="AD118">
        <v>1</v>
      </c>
      <c r="AE118">
        <v>0</v>
      </c>
      <c r="AF118" t="s">
        <v>145</v>
      </c>
      <c r="AG118">
        <v>0.275</v>
      </c>
      <c r="AH118">
        <v>2</v>
      </c>
      <c r="AI118">
        <v>55469273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ROW(Source!A85)</f>
        <v>85</v>
      </c>
      <c r="B119">
        <v>55469285</v>
      </c>
      <c r="C119">
        <v>55469270</v>
      </c>
      <c r="D119">
        <v>44976638</v>
      </c>
      <c r="E119">
        <v>1</v>
      </c>
      <c r="F119">
        <v>1</v>
      </c>
      <c r="G119">
        <v>1</v>
      </c>
      <c r="H119">
        <v>2</v>
      </c>
      <c r="I119" t="s">
        <v>307</v>
      </c>
      <c r="J119" t="s">
        <v>308</v>
      </c>
      <c r="K119" t="s">
        <v>309</v>
      </c>
      <c r="L119">
        <v>1368</v>
      </c>
      <c r="N119">
        <v>1011</v>
      </c>
      <c r="O119" t="s">
        <v>289</v>
      </c>
      <c r="P119" t="s">
        <v>289</v>
      </c>
      <c r="Q119">
        <v>1</v>
      </c>
      <c r="X119">
        <v>0.1</v>
      </c>
      <c r="Y119">
        <v>0</v>
      </c>
      <c r="Z119">
        <v>694.79</v>
      </c>
      <c r="AA119">
        <v>16.44</v>
      </c>
      <c r="AB119">
        <v>0</v>
      </c>
      <c r="AC119">
        <v>0</v>
      </c>
      <c r="AD119">
        <v>1</v>
      </c>
      <c r="AE119">
        <v>0</v>
      </c>
      <c r="AF119" t="s">
        <v>145</v>
      </c>
      <c r="AG119">
        <v>0.25</v>
      </c>
      <c r="AH119">
        <v>2</v>
      </c>
      <c r="AI119">
        <v>55469274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ROW(Source!A85)</f>
        <v>85</v>
      </c>
      <c r="B120">
        <v>55469286</v>
      </c>
      <c r="C120">
        <v>55469270</v>
      </c>
      <c r="D120">
        <v>44976813</v>
      </c>
      <c r="E120">
        <v>1</v>
      </c>
      <c r="F120">
        <v>1</v>
      </c>
      <c r="G120">
        <v>1</v>
      </c>
      <c r="H120">
        <v>2</v>
      </c>
      <c r="I120" t="s">
        <v>325</v>
      </c>
      <c r="J120" t="s">
        <v>326</v>
      </c>
      <c r="K120" t="s">
        <v>327</v>
      </c>
      <c r="L120">
        <v>1368</v>
      </c>
      <c r="N120">
        <v>1011</v>
      </c>
      <c r="O120" t="s">
        <v>289</v>
      </c>
      <c r="P120" t="s">
        <v>289</v>
      </c>
      <c r="Q120">
        <v>1</v>
      </c>
      <c r="X120">
        <v>0.1</v>
      </c>
      <c r="Y120">
        <v>0</v>
      </c>
      <c r="Z120">
        <v>1503.75</v>
      </c>
      <c r="AA120">
        <v>14.4</v>
      </c>
      <c r="AB120">
        <v>0</v>
      </c>
      <c r="AC120">
        <v>0</v>
      </c>
      <c r="AD120">
        <v>1</v>
      </c>
      <c r="AE120">
        <v>0</v>
      </c>
      <c r="AF120" t="s">
        <v>145</v>
      </c>
      <c r="AG120">
        <v>0.25</v>
      </c>
      <c r="AH120">
        <v>2</v>
      </c>
      <c r="AI120">
        <v>55469275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ROW(Source!A85)</f>
        <v>85</v>
      </c>
      <c r="B121">
        <v>55469287</v>
      </c>
      <c r="C121">
        <v>55469270</v>
      </c>
      <c r="D121">
        <v>44976814</v>
      </c>
      <c r="E121">
        <v>1</v>
      </c>
      <c r="F121">
        <v>1</v>
      </c>
      <c r="G121">
        <v>1</v>
      </c>
      <c r="H121">
        <v>2</v>
      </c>
      <c r="I121" t="s">
        <v>328</v>
      </c>
      <c r="J121" t="s">
        <v>329</v>
      </c>
      <c r="K121" t="s">
        <v>330</v>
      </c>
      <c r="L121">
        <v>1368</v>
      </c>
      <c r="N121">
        <v>1011</v>
      </c>
      <c r="O121" t="s">
        <v>289</v>
      </c>
      <c r="P121" t="s">
        <v>289</v>
      </c>
      <c r="Q121">
        <v>1</v>
      </c>
      <c r="X121">
        <v>0.1</v>
      </c>
      <c r="Y121">
        <v>0</v>
      </c>
      <c r="Z121">
        <v>19.4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145</v>
      </c>
      <c r="AG121">
        <v>0.25</v>
      </c>
      <c r="AH121">
        <v>2</v>
      </c>
      <c r="AI121">
        <v>55469276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ROW(Source!A85)</f>
        <v>85</v>
      </c>
      <c r="B122">
        <v>55469288</v>
      </c>
      <c r="C122">
        <v>55469270</v>
      </c>
      <c r="D122">
        <v>44977227</v>
      </c>
      <c r="E122">
        <v>1</v>
      </c>
      <c r="F122">
        <v>1</v>
      </c>
      <c r="G122">
        <v>1</v>
      </c>
      <c r="H122">
        <v>2</v>
      </c>
      <c r="I122" t="s">
        <v>254</v>
      </c>
      <c r="J122" t="s">
        <v>255</v>
      </c>
      <c r="K122" t="s">
        <v>256</v>
      </c>
      <c r="L122">
        <v>1368</v>
      </c>
      <c r="N122">
        <v>1011</v>
      </c>
      <c r="O122" t="s">
        <v>289</v>
      </c>
      <c r="P122" t="s">
        <v>289</v>
      </c>
      <c r="Q122">
        <v>1</v>
      </c>
      <c r="X122">
        <v>0.1</v>
      </c>
      <c r="Y122">
        <v>0</v>
      </c>
      <c r="Z122">
        <v>110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145</v>
      </c>
      <c r="AG122">
        <v>0.25</v>
      </c>
      <c r="AH122">
        <v>2</v>
      </c>
      <c r="AI122">
        <v>55469277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ROW(Source!A85)</f>
        <v>85</v>
      </c>
      <c r="B123">
        <v>55469289</v>
      </c>
      <c r="C123">
        <v>55469270</v>
      </c>
      <c r="D123">
        <v>44977523</v>
      </c>
      <c r="E123">
        <v>1</v>
      </c>
      <c r="F123">
        <v>1</v>
      </c>
      <c r="G123">
        <v>1</v>
      </c>
      <c r="H123">
        <v>2</v>
      </c>
      <c r="I123" t="s">
        <v>334</v>
      </c>
      <c r="J123" t="s">
        <v>335</v>
      </c>
      <c r="K123" t="s">
        <v>336</v>
      </c>
      <c r="L123">
        <v>1368</v>
      </c>
      <c r="N123">
        <v>1011</v>
      </c>
      <c r="O123" t="s">
        <v>289</v>
      </c>
      <c r="P123" t="s">
        <v>289</v>
      </c>
      <c r="Q123">
        <v>1</v>
      </c>
      <c r="X123">
        <v>0.06</v>
      </c>
      <c r="Y123">
        <v>0</v>
      </c>
      <c r="Z123">
        <v>203.2</v>
      </c>
      <c r="AA123">
        <v>10.06</v>
      </c>
      <c r="AB123">
        <v>0</v>
      </c>
      <c r="AC123">
        <v>0</v>
      </c>
      <c r="AD123">
        <v>1</v>
      </c>
      <c r="AE123">
        <v>0</v>
      </c>
      <c r="AF123" t="s">
        <v>145</v>
      </c>
      <c r="AG123">
        <v>0.15</v>
      </c>
      <c r="AH123">
        <v>2</v>
      </c>
      <c r="AI123">
        <v>55469278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ROW(Source!A85)</f>
        <v>85</v>
      </c>
      <c r="B124">
        <v>55469290</v>
      </c>
      <c r="C124">
        <v>55469270</v>
      </c>
      <c r="D124">
        <v>44810508</v>
      </c>
      <c r="E124">
        <v>1</v>
      </c>
      <c r="F124">
        <v>1</v>
      </c>
      <c r="G124">
        <v>1</v>
      </c>
      <c r="H124">
        <v>3</v>
      </c>
      <c r="I124" t="s">
        <v>337</v>
      </c>
      <c r="J124" t="s">
        <v>338</v>
      </c>
      <c r="K124" t="s">
        <v>339</v>
      </c>
      <c r="L124">
        <v>1348</v>
      </c>
      <c r="N124">
        <v>1009</v>
      </c>
      <c r="O124" t="s">
        <v>138</v>
      </c>
      <c r="P124" t="s">
        <v>138</v>
      </c>
      <c r="Q124">
        <v>1000</v>
      </c>
      <c r="X124">
        <v>0.001</v>
      </c>
      <c r="Y124">
        <v>1554.2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144</v>
      </c>
      <c r="AG124">
        <v>0.002</v>
      </c>
      <c r="AH124">
        <v>2</v>
      </c>
      <c r="AI124">
        <v>55469279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ROW(Source!A85)</f>
        <v>85</v>
      </c>
      <c r="B125">
        <v>55469291</v>
      </c>
      <c r="C125">
        <v>55469270</v>
      </c>
      <c r="D125">
        <v>44812338</v>
      </c>
      <c r="E125">
        <v>1</v>
      </c>
      <c r="F125">
        <v>1</v>
      </c>
      <c r="G125">
        <v>1</v>
      </c>
      <c r="H125">
        <v>3</v>
      </c>
      <c r="I125" t="s">
        <v>340</v>
      </c>
      <c r="J125" t="s">
        <v>341</v>
      </c>
      <c r="K125" t="s">
        <v>342</v>
      </c>
      <c r="L125">
        <v>1339</v>
      </c>
      <c r="N125">
        <v>1007</v>
      </c>
      <c r="O125" t="s">
        <v>269</v>
      </c>
      <c r="P125" t="s">
        <v>269</v>
      </c>
      <c r="Q125">
        <v>1</v>
      </c>
      <c r="X125">
        <v>0.44</v>
      </c>
      <c r="Y125">
        <v>3.15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144</v>
      </c>
      <c r="AG125">
        <v>0.88</v>
      </c>
      <c r="AH125">
        <v>2</v>
      </c>
      <c r="AI125">
        <v>55469280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ROW(Source!A85)</f>
        <v>85</v>
      </c>
      <c r="B126">
        <v>55469292</v>
      </c>
      <c r="C126">
        <v>55469270</v>
      </c>
      <c r="D126">
        <v>44801271</v>
      </c>
      <c r="E126">
        <v>54</v>
      </c>
      <c r="F126">
        <v>1</v>
      </c>
      <c r="G126">
        <v>1</v>
      </c>
      <c r="H126">
        <v>3</v>
      </c>
      <c r="I126" t="s">
        <v>363</v>
      </c>
      <c r="K126" t="s">
        <v>364</v>
      </c>
      <c r="L126">
        <v>1348</v>
      </c>
      <c r="N126">
        <v>1009</v>
      </c>
      <c r="O126" t="s">
        <v>138</v>
      </c>
      <c r="P126" t="s">
        <v>138</v>
      </c>
      <c r="Q126">
        <v>1000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</v>
      </c>
      <c r="AD126">
        <v>0</v>
      </c>
      <c r="AE126">
        <v>0</v>
      </c>
      <c r="AF126" t="s">
        <v>144</v>
      </c>
      <c r="AG126">
        <v>0</v>
      </c>
      <c r="AH126">
        <v>3</v>
      </c>
      <c r="AI126">
        <v>-1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2023-07-17T12:24:06Z</cp:lastPrinted>
  <dcterms:created xsi:type="dcterms:W3CDTF">2023-07-17T12:21:35Z</dcterms:created>
  <dcterms:modified xsi:type="dcterms:W3CDTF">2023-08-09T12:06:47Z</dcterms:modified>
  <cp:category/>
  <cp:version/>
  <cp:contentType/>
  <cp:contentStatus/>
</cp:coreProperties>
</file>