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Смета для ТЕР МО 421пр (12" sheetId="1" r:id="rId1"/>
    <sheet name="Ведомость объемов работ" sheetId="2" r:id="rId2"/>
    <sheet name="Акт КС-2 8 граф" sheetId="3" r:id="rId3"/>
    <sheet name="Дефектная ведомость" sheetId="4" r:id="rId4"/>
    <sheet name="Source" sheetId="5" r:id="rId5"/>
    <sheet name="SourceObSm" sheetId="6" r:id="rId6"/>
    <sheet name="SmtRes" sheetId="7" r:id="rId7"/>
    <sheet name="EtalonRes" sheetId="8" r:id="rId8"/>
  </sheets>
  <definedNames>
    <definedName name="_xlnm.Print_Titles" localSheetId="2">'Акт КС-2 8 граф'!$35:$35</definedName>
    <definedName name="_xlnm.Print_Titles" localSheetId="1">'Ведомость объемов работ'!$17:$17</definedName>
    <definedName name="_xlnm.Print_Titles" localSheetId="3">'Дефектная ведомость'!$18:$18</definedName>
    <definedName name="_xlnm.Print_Titles" localSheetId="0">'Смета для ТЕР МО 421пр (12'!$46:$46</definedName>
    <definedName name="_xlnm.Print_Area" localSheetId="2">'Акт КС-2 8 граф'!$A$1:$H$203</definedName>
    <definedName name="_xlnm.Print_Area" localSheetId="1">'Ведомость объемов работ'!$A$1:$H$42</definedName>
    <definedName name="_xlnm.Print_Area" localSheetId="3">'Дефектная ведомость'!$A$1:$E$43</definedName>
    <definedName name="_xlnm.Print_Area" localSheetId="0">'Смета для ТЕР МО 421пр (12'!$A$1:$L$237</definedName>
  </definedNames>
  <calcPr fullCalcOnLoad="1"/>
</workbook>
</file>

<file path=xl/sharedStrings.xml><?xml version="1.0" encoding="utf-8"?>
<sst xmlns="http://schemas.openxmlformats.org/spreadsheetml/2006/main" count="4764" uniqueCount="569">
  <si>
    <t>Smeta.RU  (495) 974-1589</t>
  </si>
  <si>
    <t>_PS_</t>
  </si>
  <si>
    <t>Smeta.RU</t>
  </si>
  <si>
    <t/>
  </si>
  <si>
    <t>Выполнение работ по замене светопрозрачных перегородок входа в блок 1 строения № 1 ИПУ РАН</t>
  </si>
  <si>
    <t>Степанова А.М.</t>
  </si>
  <si>
    <t>Ведущий инжененр РЕСО</t>
  </si>
  <si>
    <t>Покшин В.И.</t>
  </si>
  <si>
    <t>Заведующий РЕСО</t>
  </si>
  <si>
    <t>Муравьев К.В.</t>
  </si>
  <si>
    <t>Главный инженер</t>
  </si>
  <si>
    <t>ИПУ РАН</t>
  </si>
  <si>
    <t>Сметные нормы списания</t>
  </si>
  <si>
    <t>Коды ценников</t>
  </si>
  <si>
    <t>ФЕР-2020 И9 приказы НР № 812/пр, СП № 774/пр</t>
  </si>
  <si>
    <t>Версия 1.7.0 ГСН (ГЭСН, ФЕР) и ТЕР (Методики НР (812/пр, 636/пр, 611/пр) и СП (774/пр и 317/пр) применять с 08.01.2023 г.)</t>
  </si>
  <si>
    <t>ФЕР-2020 - изменения И9</t>
  </si>
  <si>
    <t>Поправки для ГСН (ФЕР) 2020 от 11.09.2022 г И9 (в ред. 557/пр) Капитальный ремонт производственных зданий</t>
  </si>
  <si>
    <t>ГСН</t>
  </si>
  <si>
    <t>Горяников С.Л.</t>
  </si>
  <si>
    <t>И.О. Главного инженера</t>
  </si>
  <si>
    <t>Новый раздел</t>
  </si>
  <si>
    <t>Ремонтные работы</t>
  </si>
  <si>
    <t>1</t>
  </si>
  <si>
    <t>09-03-046-01</t>
  </si>
  <si>
    <t>Демонтаж перегородок: из алюминиевых сплавов сборно-разборных с остеклением (Применительно)</t>
  </si>
  <si>
    <t>100 м2</t>
  </si>
  <si>
    <t>ФЕР-2001, 09-03-046-01, приказ Минстроя России № 876/пр от 26.12.2019</t>
  </si>
  <si>
    <t>Поправка: МР 571/пр Табл.2, п.4  Наименование: При демонтаже (разборке) металлических конструкций</t>
  </si>
  <si>
    <t>)*0</t>
  </si>
  <si>
    <t>)*0,7</t>
  </si>
  <si>
    <t>Общестроительные работы</t>
  </si>
  <si>
    <t>Строительные металлические конструкции</t>
  </si>
  <si>
    <t>ФЕР-09</t>
  </si>
  <si>
    <t>Поправка: МР 571/пр Табл.2, п.4</t>
  </si>
  <si>
    <t>Пр/812-009.0-1</t>
  </si>
  <si>
    <t>Пр/774-009.0</t>
  </si>
  <si>
    <t>Письмо Минстроя России от 28.08.2023 № 52355-ИФ/09</t>
  </si>
  <si>
    <t>2</t>
  </si>
  <si>
    <t>06-03-004-01</t>
  </si>
  <si>
    <t>Срезка анкерных болтов (Применительно)</t>
  </si>
  <si>
    <t>т</t>
  </si>
  <si>
    <t>ФЕР-2001 доп. 3, 06-03-004-01, приказ Минстроя России № 352/пр от 30.06.2020</t>
  </si>
  <si>
    <t>Бетонные и железобетонные монолитные конструкции и работы в строительстве</t>
  </si>
  <si>
    <t>ФЕР-06</t>
  </si>
  <si>
    <t>Пр/812-006.0-1</t>
  </si>
  <si>
    <t>Пр/774-006.0</t>
  </si>
  <si>
    <t>2,1</t>
  </si>
  <si>
    <t>07.2.07.02-0001</t>
  </si>
  <si>
    <t>Кондуктор инвентарный металлический</t>
  </si>
  <si>
    <t>ШТ</t>
  </si>
  <si>
    <t>ФССЦ-2001, 07.2.07.02-0001, приказ Минстроя России № 876/пр от 26.12.2019</t>
  </si>
  <si>
    <t>2,2</t>
  </si>
  <si>
    <t>08.4.01.01-0022</t>
  </si>
  <si>
    <t>Детали анкерные с резьбой из прямых или гнутых круглых стержней</t>
  </si>
  <si>
    <t>ФССЦ-2001, 08.4.01.01-0022, приказ Минстроя России № 876/пр от 26.12.2019</t>
  </si>
  <si>
    <t>3</t>
  </si>
  <si>
    <t>46-03-001-01</t>
  </si>
  <si>
    <t>Сверление в железобетонных конструкциях вертикальных отверстий глубиной 200 мм диаметром: 20 мм (Применительно)</t>
  </si>
  <si>
    <t>100 отверстий</t>
  </si>
  <si>
    <t>ФЕР-2001 доп.4, 46-03-001-01, приказ Минстроя России № 636/пр от 20.10.2020</t>
  </si>
  <si>
    <t>Работы по реконструкции зданий и сооружений</t>
  </si>
  <si>
    <t>Работы по реконструкции зданий и сооружений: усиление и замена существующих конструкций, возведение отдельных конструктивных элементов</t>
  </si>
  <si>
    <t>ФЕР-46</t>
  </si>
  <si>
    <t>Пр/812-040.1-1</t>
  </si>
  <si>
    <t>Пр/774-040.1</t>
  </si>
  <si>
    <t>3,1</t>
  </si>
  <si>
    <t>01.7.17.09-0001</t>
  </si>
  <si>
    <t>Бур с ограничителем TE-C-HDA-B 22х155 для анкеров HDA</t>
  </si>
  <si>
    <t>ФССЦ-2001, 01.7.17.09-0001, приказ Минстроя России № 876/пр от 26.12.2019</t>
  </si>
  <si>
    <t>4</t>
  </si>
  <si>
    <t>Установка анкерных болтов: в готовые гнезда с заделкой длиной до 1 м</t>
  </si>
  <si>
    <t>)*1,25</t>
  </si>
  <si>
    <t>)*1,15</t>
  </si>
  <si>
    <t>)*0,85</t>
  </si>
  <si>
    <t>Поправка: М-ка 421/пр 04.08.20 п.58 п.п. б)</t>
  </si>
  <si>
    <t>5</t>
  </si>
  <si>
    <t>Монтаж перегородок: из алюминиевых сплавов сборно-разборных с остеклением</t>
  </si>
  <si>
    <t>5,1</t>
  </si>
  <si>
    <t>Цена Поставщика</t>
  </si>
  <si>
    <t>Перегородка из профилей алaлюминиевых Realit RW 64 и Realit RF 50 стойка -ригель,  Стеклопакет энергосберегающий 6зак+20+6 И зак.TopN  внешняя, по каталогу RAL  по согласованию согласно проекта (порошковая покраска)</t>
  </si>
  <si>
    <t>м2</t>
  </si>
  <si>
    <t>занесена вручную</t>
  </si>
  <si>
    <t>5,2</t>
  </si>
  <si>
    <t>Монтажные комплектующие</t>
  </si>
  <si>
    <t>КОМПЛ</t>
  </si>
  <si>
    <t>6</t>
  </si>
  <si>
    <t>09-05-009-03</t>
  </si>
  <si>
    <t>Установка алюминиевых: нащельников</t>
  </si>
  <si>
    <t>100 м</t>
  </si>
  <si>
    <t>ФЕР-2001 доп.8, 09-05-009-03, приказ Минстроя России № 746/пр от 14.10.2021</t>
  </si>
  <si>
    <t>6,1</t>
  </si>
  <si>
    <t>Нащельники и детали примыканий</t>
  </si>
  <si>
    <t>м</t>
  </si>
  <si>
    <t>7</t>
  </si>
  <si>
    <t>11-01-049-01</t>
  </si>
  <si>
    <t>Укладка металлического накладного профиля (порога)</t>
  </si>
  <si>
    <t>ФЕР-2001, 11-01-049-01, приказ Минстроя России № 876/пр от 26.12.2019</t>
  </si>
  <si>
    <t>Полы</t>
  </si>
  <si>
    <t>ФЕР-11</t>
  </si>
  <si>
    <t>Пр/812-011.0-1</t>
  </si>
  <si>
    <t>Пр/774-011.0</t>
  </si>
  <si>
    <t>7,1</t>
  </si>
  <si>
    <t>09.2.03.02-0022</t>
  </si>
  <si>
    <t>Профили стыкоперекрывающие из алюминиевых сплавов (порожки) с покрытием, шириной 60 мм</t>
  </si>
  <si>
    <t>ФССЦ-2001, 09.2.03.02-0022, приказ Минстроя России №1039/пр от 30.12.2016г.</t>
  </si>
  <si>
    <t>8</t>
  </si>
  <si>
    <t>10-01-039-02</t>
  </si>
  <si>
    <t>Установка блоков в наружных и внутренних дверных проемах: в каменных стенах, площадь проема более 3 м2</t>
  </si>
  <si>
    <t>ФЕР-2001, 10-01-039-02, приказ Минстроя России № 876/пр от 26.12.2019</t>
  </si>
  <si>
    <t>Деревянные конструкции</t>
  </si>
  <si>
    <t>ФЕР-10</t>
  </si>
  <si>
    <t>Пр/812-010.0-1</t>
  </si>
  <si>
    <t>Пр/774-010.0</t>
  </si>
  <si>
    <t>8,1</t>
  </si>
  <si>
    <t>КОМП</t>
  </si>
  <si>
    <t>Монтажные работы</t>
  </si>
  <si>
    <t>Оборудование связи: прокладка и монтаж сетей связи (если ОПТ=1 прокладка и монтаж междугородных линий связи)</t>
  </si>
  <si>
    <t>мФЕР-10</t>
  </si>
  <si>
    <t>Пр/812-051.1-1</t>
  </si>
  <si>
    <t>Пр/774-051.1</t>
  </si>
  <si>
    <t>Оборудование связи: прокладка и монтаж сетей связи</t>
  </si>
  <si>
    <t>9</t>
  </si>
  <si>
    <t>10-01-049-02</t>
  </si>
  <si>
    <t>Установка: дверного доводчика</t>
  </si>
  <si>
    <t>100 ШТ</t>
  </si>
  <si>
    <t>ФЕР-2001 доп.6, 10-01-049-02, приказ Минстроя России № 321/пр от 24.05.2021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</si>
  <si>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</si>
  <si>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</si>
  <si>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</si>
  <si>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</si>
  <si>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</si>
  <si>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</si>
  <si>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</si>
  <si>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</si>
  <si>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</si>
  <si>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</si>
  <si>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</si>
  <si>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</si>
  <si>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</si>
  <si>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</si>
  <si>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</si>
  <si>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</si>
  <si>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</si>
  <si>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</si>
  <si>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</si>
  <si>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</si>
  <si>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</si>
  <si>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</si>
  <si>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</si>
  <si>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</si>
  <si>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</si>
  <si>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</si>
  <si>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</si>
  <si>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</si>
  <si>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</si>
  <si>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</si>
  <si>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</si>
  <si>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</si>
  <si>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</si>
  <si>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</si>
  <si>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</si>
  <si>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</si>
  <si>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</si>
  <si>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</si>
  <si>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</si>
  <si>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</si>
  <si>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</si>
  <si>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</si>
  <si>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</si>
  <si>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</si>
  <si>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</si>
  <si>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</si>
  <si>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Перевозка</t>
  </si>
  <si>
    <t>Перевозка грузов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</si>
  <si>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</si>
  <si>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</si>
  <si>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</si>
  <si>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</si>
  <si>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</si>
  <si>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</si>
  <si>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итог1</t>
  </si>
  <si>
    <t>итого по разделу</t>
  </si>
  <si>
    <t>Разные работы</t>
  </si>
  <si>
    <t>10</t>
  </si>
  <si>
    <t>т01-01-01-041</t>
  </si>
  <si>
    <t>Погрузка при автомобильных перевозках мусора строительного с погрузкой вручную</t>
  </si>
  <si>
    <t>1 Т ГРУЗА</t>
  </si>
  <si>
    <t>ФССЦпг-2001, т01-01-01-041, приказ Минстроя России №876/пр от 26.12.2019</t>
  </si>
  <si>
    <t>Погрузочно-разгрузочные работы</t>
  </si>
  <si>
    <t>ФССЦпр  пог. а/п (2011,изм. 4-6)</t>
  </si>
  <si>
    <t>11</t>
  </si>
  <si>
    <t>т03-01-01-050</t>
  </si>
  <si>
    <t>Перевозка грузов I класса автомобилями бортовыми грузоподъемностью до 15 т на расстояние до 50 км</t>
  </si>
  <si>
    <t>ФССЦпг-2001, т03-01-01-050, приказ Минстроя России №876/пр от 26.12.2019</t>
  </si>
  <si>
    <t>Автомобили бортовые</t>
  </si>
  <si>
    <t>Перевозка строительных грузов автомобильным транспортом</t>
  </si>
  <si>
    <t>ФССЦпр , изм. 7</t>
  </si>
  <si>
    <t>Всего материалов</t>
  </si>
  <si>
    <t>Итого</t>
  </si>
  <si>
    <t>НДС</t>
  </si>
  <si>
    <t>НДС 20%</t>
  </si>
  <si>
    <t>Всего по смете</t>
  </si>
  <si>
    <t>ВСЕГО ПО СМЕТЕ</t>
  </si>
  <si>
    <t>Итого1</t>
  </si>
  <si>
    <t>Итого2</t>
  </si>
  <si>
    <t>111</t>
  </si>
  <si>
    <t>Новая переменная</t>
  </si>
  <si>
    <t>Переменная_1</t>
  </si>
  <si>
    <t>Переменная_2</t>
  </si>
  <si>
    <t>СТР_РЕК</t>
  </si>
  <si>
    <t>СТРОИТЕЛЬСТВО и РЕКОНСТРУКЦИЯ  зданий и сооружений всех назначений</t>
  </si>
  <si>
    <t>Строительство и реконструкция</t>
  </si>
  <si>
    <t>РЕМ_ЖИЛ</t>
  </si>
  <si>
    <t>КАП. РЕМ. ЖИЛЫХ И ОБЩЕСТВЕННЫХ ЗДАНИЙ</t>
  </si>
  <si>
    <t>Капитальный ремонт жилых и общественных зданий</t>
  </si>
  <si>
    <t>РЕМ_ПР</t>
  </si>
  <si>
    <t>КАП. РЕМ. ПРОИЗВОДСТВЕННЫХ ЗД. и СООРУЖЕНИЙ,  НАРУЖНЫХ ИНЖЕНЕРНЫХ СЕТЕЙ, УЛИЦ И ДОРОГ МЕСТНОГО ЗНАЧЕНИЯ, ИНЖ,СООРУЖЕНИЙ ( ГИДРОТЕХ,СООРУЖ, МОСТОВ И ПУТЕПРОВОДОВ И Т.П.)</t>
  </si>
  <si>
    <t>Капитальный ремонт прозводственных зданий</t>
  </si>
  <si>
    <t>Территория</t>
  </si>
  <si>
    <t>для территории Российской Федерации, не относящейся к районам Крайнего Севера и приравненным к ним местностям</t>
  </si>
  <si>
    <t>МПРКС</t>
  </si>
  <si>
    <t>для территории Российской Федерации, относящейся к местностям, приравненным к районам Крайнего Севера</t>
  </si>
  <si>
    <t>РКС</t>
  </si>
  <si>
    <t>для территории Российской Федерации, относящейся к районам Крайнего Севера</t>
  </si>
  <si>
    <t>СЛЖ</t>
  </si>
  <si>
    <t>При определении сметной стоимости строительства объектов капитального строительства, относящихся к особо опасным и технически сложным. За исключением АЭС.</t>
  </si>
  <si>
    <t>Для сборников ФЕР ( при производстве работ на технически сложных объектах ):  ·  { СЛЖ } - (вкл.)    - работа на сложных объектах  (к=1,2 к НР)           ·  { СЛЖ } - (выкл.) - работа на обычных объектах</t>
  </si>
  <si>
    <t>Сложные объекты</t>
  </si>
  <si>
    <t>СТНДРТ</t>
  </si>
  <si>
    <t>При определении сметной стоимости строительства объектов капитального строительства (за исключением АЭС).</t>
  </si>
  <si>
    <t>АЭС_ПНР</t>
  </si>
  <si>
    <t>При определении сметной стоимости строительства объектов капитального строительства АЭС. Пусконаладочные работы (за исключением технологического оборудования АЭС).</t>
  </si>
  <si>
    <t>АЭС_ПНР_ТЕХ</t>
  </si>
  <si>
    <t>При определении сметной стоимости строительства объектов капитального строительства АЭС. Пусконаладочные работы технологического оборудования АЭС.</t>
  </si>
  <si>
    <t>Для сборника ФЕРм -39  и ФЕРМ-08  ( при работах по контролю сварных соединений) :    {мАЭС} - ( вкл.)  -     при выполнении работ по на АЭС  (HР=101%; СП= 68%;             {мАЭС} - (выкл.) -  при выполнении работ  на обычных объектах</t>
  </si>
  <si>
    <t>АЭС</t>
  </si>
  <si>
    <t>ОПТ/В</t>
  </si>
  <si>
    <t>{вкл}    - Прокладка  МЕЖДУГОРОДНЫХ  ВОЛОКОННО-ОПТИЧЕСКИХ ЛИНИЙ (для ФЕРм10, отд. 6 разд.3)  {выкл} - Прокладка  ГОРОДСКИХ               ВОЛОКОННО-ОПТИТЕСКИХ ЛИНИЙ  (для ФЕРм10, отд. 6 разд.3)</t>
  </si>
  <si>
    <t>Для сборников ФЕРм-10  ( волоконно-оптические линии связи ): ·  {М_ГОР_опт} -  ( вкл.)  - междугородные сети связи ( НР=120% , СП=70% )           ·  {М_ГОР_опт} - ( выкл.) - городские сети связи  ( НР=100%; СП=65%)</t>
  </si>
  <si>
    <t>Прокладка междугородных в/опт. кабелей</t>
  </si>
  <si>
    <t>АВИ</t>
  </si>
  <si>
    <t>(вкл)   -  При работах по ДИСПЕТЧЕРЕЗАЦИИ управления движением АВИАТРАНСПОРТОМ {вкл}  (монтажные работы )</t>
  </si>
  <si>
    <t>Для сборников ФЕРм 08;10;11 :    · {мАВИА} -  (вкл.)     -  производство монтажных  работы по диспетчеризации управления  движением авиатранспортном (НР=95%, СП=55%) ;    ·            {мАВИА} -  (выкл. ) -  при производстве работ на прочих объектах , кром</t>
  </si>
  <si>
    <t>Диспетчеризация авитранспорта</t>
  </si>
  <si>
    <t>ЗАКР</t>
  </si>
  <si>
    <t>{вкл}   -  Обслуживающие и сопутстующие работы в тоннелях при  производве работ ЗАКРЫТЫМ СПОСОБОМ   {выкл} - Обслуживающие и сопутстующие работы в тоннелях при  производве работ  ОТКРЫТЫМ</t>
  </si>
  <si>
    <t>Для сборника ФЕР -29 ( сопутствующие работы в тоннелях и метро. ): ·  {ЗАКР} - (вкл.)     -  при выполнении работ в тоннелях  и метро закрытым способом  (НР=145% , СП=75%); ·                {ЗАКР} - (выкл.) -   при выполнении работ в тоннелях и метро  отк</t>
  </si>
  <si>
    <t>Производство работ закрытым способом (обслуживающие процессы)</t>
  </si>
  <si>
    <t>ГОР</t>
  </si>
  <si>
    <t>(вкл) - ФЕРм-08, выполнение работ на горнорудных объектах  (выкл) - ФЕРм-08, выполнение работ на других объектах</t>
  </si>
  <si>
    <t>Выполнение работ на горнорудных объектах</t>
  </si>
  <si>
    <t>ОБ_ПР</t>
  </si>
  <si>
    <t>Объект производственного назначения</t>
  </si>
  <si>
    <t>ОБ_НПР</t>
  </si>
  <si>
    <t>Объект непроизводственного назначения</t>
  </si>
  <si>
    <t>К_НР_РЕМ</t>
  </si>
  <si>
    <t>при ремонте жилых и общественных зданий если  ( если {РЕМ_ЖИЛ}= [вкл.]</t>
  </si>
  <si>
    <t>Для сборников  ФЕР и  ФЕРмр :  · Значение {_МДСрем_НР}= 0,90 -  при ремонте зданий жилого и гражданского назначений ( 0,90 к НР) ;  · Значение {_МДСрем_НР}= 1,00  - при строительстве  и реконструкции  объектов всех назначений</t>
  </si>
  <si>
    <t>п.25</t>
  </si>
  <si>
    <t>К_СП_РЕМ</t>
  </si>
  <si>
    <t>к нормам СП при капитальном ремонте зданий и сооружений всех назначений ( если или {РЕМ_ЖИЛ}=[вкл] , или (РЕМ_ПР}=[вкл] )</t>
  </si>
  <si>
    <t>Для сборников  ФЕР и  ФЕРмр :   · Значение {_МДСрем_СП} = 0.85  -  при ремонте зданий всех назначений ( 0,85 к СП);   · Значение {_МДСрем_СП} = 1,00 -  при строительстве  и реконструкции  объектов всех назначений</t>
  </si>
  <si>
    <t>п.16</t>
  </si>
  <si>
    <t>К_НР_СЛЖ</t>
  </si>
  <si>
    <t>При определении сметной стоимости строительства объектов капитального строительства, относящихся к особо опасным и технически сложным. За исключением объектов атомных электрических станций.  ( если {СЛЖ} = [вкл] )</t>
  </si>
  <si>
    <t>п.27 СЛОЖН</t>
  </si>
  <si>
    <t>К_НР_АЭС</t>
  </si>
  <si>
    <t>При определении сметной стоимости строительства объектов капитального строительства, относящихся к особо опасным и технически сложным. Для объектов атомных электрических станций.  ( если {АЭС} = [вкл] )</t>
  </si>
  <si>
    <t>п.27 АЭС</t>
  </si>
  <si>
    <t>Р_ОКР</t>
  </si>
  <si>
    <t>Разрядность округления результата расчета НР и СП  (с 05.04.2020 - до семи знаков после запятой)</t>
  </si>
  <si>
    <t>Лист_НРиСП</t>
  </si>
  <si>
    <t>Базовый уровень цен</t>
  </si>
  <si>
    <t>Новый уровень цен</t>
  </si>
  <si>
    <t>Индексы за итогом</t>
  </si>
  <si>
    <t>_OBSM_</t>
  </si>
  <si>
    <t>1-100-43</t>
  </si>
  <si>
    <t>Затраты труда рабочих (Средний разряд - 4,3)</t>
  </si>
  <si>
    <t>чел.-ч.</t>
  </si>
  <si>
    <t>4-100-00</t>
  </si>
  <si>
    <t>Затраты труда машинистов</t>
  </si>
  <si>
    <t>91.05.05-015</t>
  </si>
  <si>
    <t>ФСЭМ-2001, 91.05.05-015 , приказ Минстроя России № 876/пр от 26.12.2019</t>
  </si>
  <si>
    <t>Краны на автомобильном ходу, грузоподъемность 16 т</t>
  </si>
  <si>
    <t>маш.-ч.</t>
  </si>
  <si>
    <t>91.06.03-062</t>
  </si>
  <si>
    <t>ФСЭМ-2001, 91.06.03-062 , приказ Минстроя России № 876/пр от 26.12.2019</t>
  </si>
  <si>
    <t>Лебедки электрические тяговым усилием до 31,39 кН (3,2 т)</t>
  </si>
  <si>
    <t>91.14.02-001</t>
  </si>
  <si>
    <t>ФСЭМ-2001, 91.14.02-001 , приказ Минстроя России № 876/пр от 26.12.2019</t>
  </si>
  <si>
    <t>Автомобили бортовые, грузоподъемность до 5 т</t>
  </si>
  <si>
    <t>01.7.20.08-0071</t>
  </si>
  <si>
    <t>ФССЦ-2001, 01.7.20.08-0071, приказ Минстроя России № 876/пр от 26.12.2019</t>
  </si>
  <si>
    <t>Канат пеньковый пропитанный</t>
  </si>
  <si>
    <t>07.2.07.12-0020</t>
  </si>
  <si>
    <t>ФССЦ-2001, 07.2.07.12-0020, приказ Минстроя России № 876/пр от 26.12.2019</t>
  </si>
  <si>
    <t>Элементы конструктивные зданий и сооружений с преобладанием горячекатаных профилей, средняя масса сборочной единицы от 0,1 до 0,5 т</t>
  </si>
  <si>
    <t>08.2.02.11-0007</t>
  </si>
  <si>
    <t>ФССЦ-2001, 08.2.02.11-0007, приказ Минстроя России № 876/пр от 26.12.2019</t>
  </si>
  <si>
    <t>Канат двойной свивки ТК, конструкции 6х19(1+6+12)+1 о.с., оцинкованный, из проволок марки В, маркировочная группа 1770 н/мм2, диаметр 5,5 мм</t>
  </si>
  <si>
    <t>10 м</t>
  </si>
  <si>
    <t>11.1.03.01-0077</t>
  </si>
  <si>
    <t>ФССЦ-2001, 11.1.03.01-0077, приказ Минстроя России № 876/пр от 26.12.2019</t>
  </si>
  <si>
    <t>Бруски обрезные, хвойных пород, длина 4-6,5 м, ширина 75-150 мм, толщина 40-75 мм, сорт I</t>
  </si>
  <si>
    <t>м3</t>
  </si>
  <si>
    <t>1-100-33</t>
  </si>
  <si>
    <t>Затраты труда рабочих (Средний разряд - 3,3)</t>
  </si>
  <si>
    <t>1-100-40</t>
  </si>
  <si>
    <t>Затраты труда рабочих (Средний разряд - 4)</t>
  </si>
  <si>
    <t>91.21.20-013</t>
  </si>
  <si>
    <t>ФСЭМ-2001 доп.4, 91.21.20-013, приказ Минстроя России № 636/пр от 20.10.2020</t>
  </si>
  <si>
    <t>Установки для сверления отверстий в железобетоне диаметром до 250 мм</t>
  </si>
  <si>
    <t>01.7.03.01-0001</t>
  </si>
  <si>
    <t>ФССЦ-2001, 01.7.03.01-0001, приказ Минстроя России № 876/пр от 26.12.2019</t>
  </si>
  <si>
    <t>Вода</t>
  </si>
  <si>
    <t>1-100-35</t>
  </si>
  <si>
    <t>Затраты труда рабочих (Средний разряд - 3,5)</t>
  </si>
  <si>
    <t>01.7.15.04-0055</t>
  </si>
  <si>
    <t>ФССЦ-2001, 01.7.15.04-0055, приказ Минстроя России № 876/пр от 26.12.2019</t>
  </si>
  <si>
    <t>Винты самонарезающие, оцинкованные, размер 5x45 мм</t>
  </si>
  <si>
    <t>1-100-30</t>
  </si>
  <si>
    <t>Затраты труда рабочих (Средний разряд - 3)</t>
  </si>
  <si>
    <t>01.7.15.04-0048</t>
  </si>
  <si>
    <t>ФССЦ-2001, 01.7.15.04-0048, приказ Минстроя России № 876/пр от 26.12.2019</t>
  </si>
  <si>
    <t>Винты самонарезающие, остроконечные, длина 35 мм</t>
  </si>
  <si>
    <t>1-100-38</t>
  </si>
  <si>
    <t>Затраты труда рабочих (Средний разряд - 3,8)</t>
  </si>
  <si>
    <t>91.05.01-017</t>
  </si>
  <si>
    <t>ФСЭМ-2001, 91.05.01-017 , приказ Минстроя России № 876/пр от 26.12.2019</t>
  </si>
  <si>
    <t>Краны башенные, грузоподъемность 8 т</t>
  </si>
  <si>
    <t>01.7.15.06-0111</t>
  </si>
  <si>
    <t>ФССЦ-2001, 01.7.15.06-0111, приказ Минстроя России № 876/пр от 26.12.2019</t>
  </si>
  <si>
    <t>Гвозди строительные</t>
  </si>
  <si>
    <t>04.3.01.07-0011</t>
  </si>
  <si>
    <t>ФССЦ-2001, 04.3.01.07-0011, приказ Минстроя России № 876/пр от 26.12.2019</t>
  </si>
  <si>
    <t>Раствор готовый отделочный тяжелый, известковый, состав 1:2</t>
  </si>
  <si>
    <t>08.1.02.25-0031</t>
  </si>
  <si>
    <t>ФССЦ-2001, 08.1.02.25-0031, приказ Минстроя России № 876/пр от 26.12.2019</t>
  </si>
  <si>
    <t>Ерш металлический строительный</t>
  </si>
  <si>
    <t>кг</t>
  </si>
  <si>
    <t>11.1.03.06-0087</t>
  </si>
  <si>
    <t>ФССЦ-2001, 11.1.03.06-0087, приказ Минстроя России № 876/пр от 26.12.2019</t>
  </si>
  <si>
    <t>Доска обрезная, хвойных пород, ширина 75-150 мм, толщина 25 мм, длина 4-6,5 м, сорт III</t>
  </si>
  <si>
    <t>14.5.01.10-0003</t>
  </si>
  <si>
    <t>ФССЦ-2001, 14.5.01.10-0003, приказ Минстроя России № 876/пр от 26.12.2019</t>
  </si>
  <si>
    <t>Пена монтажная</t>
  </si>
  <si>
    <t>л</t>
  </si>
  <si>
    <t>1-100-39</t>
  </si>
  <si>
    <t>Затраты труда рабочих (Средний разряд - 3,9)</t>
  </si>
  <si>
    <t>01.7.03.04-0001</t>
  </si>
  <si>
    <t>ФССЦ-2001, 01.7.03.04-0001, приказ Минстроя России № 876/пр от 26.12.2019</t>
  </si>
  <si>
    <t>Электроэнергия</t>
  </si>
  <si>
    <t>КВТ-Ч</t>
  </si>
  <si>
    <t>1-1010</t>
  </si>
  <si>
    <t>Рабочий строитель среднего разряда 1</t>
  </si>
  <si>
    <t>чел.-ч</t>
  </si>
  <si>
    <t>91.14.03-001</t>
  </si>
  <si>
    <t>ФСЭМ-2001, 91.14.03-001 , приказ Минстроя России № 876/пр от 26.12.2019</t>
  </si>
  <si>
    <t>Автомобили-самосвалы, грузоподъемность до 7 т</t>
  </si>
  <si>
    <t>01.7.19.07-0003</t>
  </si>
  <si>
    <t>ФССЦ-2001, 01.7.19.07-0003, приказ Минстроя России № 876/пр от 26.12.2019</t>
  </si>
  <si>
    <t>Резина прессованная</t>
  </si>
  <si>
    <t>01.8.02.02-0001</t>
  </si>
  <si>
    <t>ФССЦ-2001, 01.8.02.02-0001, приказ Минстроя России № 876/пр от 26.12.2019</t>
  </si>
  <si>
    <t>Стекло армированное листовое бесцветное гладкое, толщина 5,5 мм</t>
  </si>
  <si>
    <t>01.8.02.06-0111</t>
  </si>
  <si>
    <t>ФССЦ-2001, 01.8.02.06-0111, приказ Минстроя России № 876/пр от 26.12.2019</t>
  </si>
  <si>
    <t>Стекло листовое прокатное для витражей бесцветное, толщина 3,5 мм</t>
  </si>
  <si>
    <t>09.3.04.03</t>
  </si>
  <si>
    <t>Алюминиевые конструкции</t>
  </si>
  <si>
    <t>01.7.17.09-0062</t>
  </si>
  <si>
    <t>ФССЦ-2001, 01.7.17.09-0062, приказ Минстроя России № 876/пр от 26.12.2019</t>
  </si>
  <si>
    <t>Сверло кольцевое алмазное, диаметр 20 мм</t>
  </si>
  <si>
    <t>09.4.03.11</t>
  </si>
  <si>
    <t>Нащельники и детали обрамления из алюминиевых сплавов</t>
  </si>
  <si>
    <t>09.2.03.02</t>
  </si>
  <si>
    <t>Профили стыкоперекрывающие из алюминиевых сплавов (порожки) с покрытием</t>
  </si>
  <si>
    <t>01.7.04.07</t>
  </si>
  <si>
    <t>Скобяные изделия</t>
  </si>
  <si>
    <t>11.2.02.01</t>
  </si>
  <si>
    <t>Блоки дверные</t>
  </si>
  <si>
    <t>01.7.04.01</t>
  </si>
  <si>
    <t>Доводчики дверные</t>
  </si>
  <si>
    <t>ГОСУДАРСТВЕННЫЕ СМЕТНЫЕ НОРМАТИВЫ (ФЕР-2020), утвержденные приказами Минстроя России от 26 декабря 2019 г.   № 876/пр (в редакции приказов Минстроя РФ от 30 марта 2020 г. № 172/пр, от 1 июня 2020 г. № 294/пр, от 30 июня 2020 г. № 352/пр,   от 20 октября 2020 г. № 636/пр, от 9 февраля 2021 г. № 51/пр, от 24 мая 2021 г. № 321/пр, от 24 июня 2021 г. № 408/пр,  от 14 октября 2021 № 746/пр, от 20 декабря 2021 № 962/пр)</t>
  </si>
  <si>
    <t>Поправка: М-ка 421/пр 04.08.20 п.58 п.п. б)  Наименование: При отсутствии необходимых норм (единичных расценок), включенных в сборники ГЭСНр (ФЕРр, ТЕРр), сметные затраты на работы по капитальному ремонту и реконструкции объектов капитального строительства могут быть определены по сметным нормам, включенным в ГЭСН (ФЕР, ТЕР), аналогичным технологическим процессам в новом строительстве, в том числе по возведению новых конструктивных элементов</t>
  </si>
  <si>
    <t>Дверной блок светопрозрачный, распашной двустворчатый (1450*2200 мм) из теплого алюминиевого профиля Realit RI 50 и RF 50 с двухкамерным стеклопакетом  6зак+20+6 зак, петли Wala 3 шт на створку, ручка скоба 300-350, замок ключ+ключ стационарный порог 14 мм, EIW15)</t>
  </si>
  <si>
    <t>"СОГЛАСОВАНО"</t>
  </si>
  <si>
    <t>"УТВЕРЖДАЮ"</t>
  </si>
  <si>
    <t>"_____"________________ 2023 г.</t>
  </si>
  <si>
    <t>(наименование стройки)</t>
  </si>
  <si>
    <t>(наименование объекта капитального строительства)</t>
  </si>
  <si>
    <t>(наименование конструктивного решения)</t>
  </si>
  <si>
    <t>Составлен</t>
  </si>
  <si>
    <t>метод</t>
  </si>
  <si>
    <t>Основание</t>
  </si>
  <si>
    <t>(проектная и (или) иная техническая документация)</t>
  </si>
  <si>
    <t>Сметная стоимость</t>
  </si>
  <si>
    <t>тыс. руб.</t>
  </si>
  <si>
    <t>Средства на оплату труда</t>
  </si>
  <si>
    <t>в том числе:</t>
  </si>
  <si>
    <t>рабочих</t>
  </si>
  <si>
    <t xml:space="preserve"> </t>
  </si>
  <si>
    <t>строительных работ</t>
  </si>
  <si>
    <t xml:space="preserve">Нормативные затраты труда рабочих </t>
  </si>
  <si>
    <t xml:space="preserve">монтажных работ    </t>
  </si>
  <si>
    <t xml:space="preserve">Нормативные затраты труда машинистов </t>
  </si>
  <si>
    <t xml:space="preserve">оборудования         </t>
  </si>
  <si>
    <t>Расчетный измеритель</t>
  </si>
  <si>
    <t xml:space="preserve">прочих затрат       </t>
  </si>
  <si>
    <t>конструктивного решения</t>
  </si>
  <si>
    <t>№ п/п</t>
  </si>
  <si>
    <t>Обоснование</t>
  </si>
  <si>
    <t>Наименование работ и затрат</t>
  </si>
  <si>
    <t>Единица измерения</t>
  </si>
  <si>
    <t>Количество</t>
  </si>
  <si>
    <t>Сметная стоимость в базисном уровне цен (в текущем уровне цен (гр.8) для ресурсов, отсутствующих в СНБ), руб.</t>
  </si>
  <si>
    <t>Индексы</t>
  </si>
  <si>
    <t>Сметная стоимость в текущем уровне цен, руб.</t>
  </si>
  <si>
    <t>на единицу</t>
  </si>
  <si>
    <t>коэффициенты</t>
  </si>
  <si>
    <r>
      <t>всего с учетом коэффицие</t>
    </r>
    <r>
      <rPr>
        <sz val="10"/>
        <color indexed="8"/>
        <rFont val="Arial"/>
        <family val="2"/>
      </rPr>
      <t>нтов</t>
    </r>
  </si>
  <si>
    <t>всего</t>
  </si>
  <si>
    <t>Наименование программного продукта: Программа для ЭВМ «Программа: «SmetaRu» версия 11»</t>
  </si>
  <si>
    <t>Базисно-индексный</t>
  </si>
  <si>
    <t>Составлена в ценах III квартал 2023 года (1.01.2000)</t>
  </si>
  <si>
    <t>Раздел: Ремонтные работы</t>
  </si>
  <si>
    <t>ФЕР 09-03-046-01</t>
  </si>
  <si>
    <r>
      <t>Демонтаж перегородок: из алюминиевых сплавов сборно-разборных с остеклением (Применительно)</t>
    </r>
    <r>
      <rPr>
        <i/>
        <sz val="10"/>
        <rFont val="Arial"/>
        <family val="2"/>
      </rPr>
      <t xml:space="preserve">
Поправки к: 
М )*0;   
ЭМ )*0,7;   
ОТм )*0,7;   
ОТ )*0,7;   
ЗТ )*0,7;   
ЗТм )*0,7</t>
    </r>
  </si>
  <si>
    <t>ОТ</t>
  </si>
  <si>
    <t>ЭМ</t>
  </si>
  <si>
    <t>в т.ч. ОТм</t>
  </si>
  <si>
    <t>ЗТ</t>
  </si>
  <si>
    <t>чел-ч</t>
  </si>
  <si>
    <t>ЗТм</t>
  </si>
  <si>
    <t>Итого по расценке</t>
  </si>
  <si>
    <t>ФОТ</t>
  </si>
  <si>
    <t>НР Строительные металлические конструкции</t>
  </si>
  <si>
    <t>%</t>
  </si>
  <si>
    <t>СП Строительные металлические конструкции</t>
  </si>
  <si>
    <t>Всего по позиции</t>
  </si>
  <si>
    <t>ФЕР 06-03-004-01</t>
  </si>
  <si>
    <r>
      <t>Срезка анкерных болтов (Применительно)</t>
    </r>
    <r>
      <rPr>
        <i/>
        <sz val="10"/>
        <rFont val="Arial"/>
        <family val="2"/>
      </rPr>
      <t xml:space="preserve">
Поправки к: 
М )*0;   
ЭМ )*0,7;   
ОТм )*0,7;   
ОТ )*0,7;   
ЗТ )*0,7;   
ЗТм )*0,7</t>
    </r>
  </si>
  <si>
    <t>НР Бетонные и железобетонные монолитные конструкции и работы в строительстве</t>
  </si>
  <si>
    <t>СП Бетонные и железобетонные монолитные конструкции и работы в строительстве</t>
  </si>
  <si>
    <t>ФЕР 46-03-001-01</t>
  </si>
  <si>
    <t>М</t>
  </si>
  <si>
    <t>ФССЦ 01.7.17.09-0001</t>
  </si>
  <si>
    <t>НР Работы по реконструкции зданий и сооружений: усиление и замена существующих конструкций, возведение отдельных конструктивных элементов</t>
  </si>
  <si>
    <t>СП Работы по реконструкции зданий и сооружений: усиление и замена существующих конструкций, возведение отдельных конструктивных элементов</t>
  </si>
  <si>
    <r>
      <t>Установка анкерных болтов: в готовые гнезда с заделкой длиной до 1 м</t>
    </r>
    <r>
      <rPr>
        <i/>
        <sz val="10"/>
        <rFont val="Arial"/>
        <family val="2"/>
      </rPr>
      <t xml:space="preserve">
Поправки к: 
ЭМ )*1,25;   
ОТм )*1,25;   
ОТ )*1,15;   
ЗТ )*1,15;   
ЗТм )*1,25;   
СП )*0,85</t>
    </r>
  </si>
  <si>
    <t>Пр/774-006.0;
п.16</t>
  </si>
  <si>
    <r>
      <t>Монтаж перегородок: из алюминиевых сплавов сборно-разборных с остеклением</t>
    </r>
    <r>
      <rPr>
        <i/>
        <sz val="10"/>
        <rFont val="Arial"/>
        <family val="2"/>
      </rPr>
      <t xml:space="preserve">
Поправки к: 
ЭМ )*1,25;   
ОТм )*1,25;   
ОТ )*1,15;   
ЗТ )*1,15;   
ЗТм )*1,25;   
СП )*0,85</t>
    </r>
  </si>
  <si>
    <t>Пр/774-009.0;
п.16</t>
  </si>
  <si>
    <t>ФЕР 09-05-009-03</t>
  </si>
  <si>
    <r>
      <t>Установка алюминиевых: нащельников</t>
    </r>
    <r>
      <rPr>
        <i/>
        <sz val="10"/>
        <rFont val="Arial"/>
        <family val="2"/>
      </rPr>
      <t xml:space="preserve">
Поправки к: 
ЭМ )*1,25;   
ОТм )*1,25;   
ОТ )*1,15;   
ЗТ )*1,15;   
ЗТм )*1,25;   
СП )*0,85</t>
    </r>
  </si>
  <si>
    <t>ФЕР 11-01-049-01</t>
  </si>
  <si>
    <r>
      <t>Укладка металлического накладного профиля (порога)</t>
    </r>
    <r>
      <rPr>
        <i/>
        <sz val="10"/>
        <rFont val="Arial"/>
        <family val="2"/>
      </rPr>
      <t xml:space="preserve">
Поправки к: 
ЭМ )*1,25;   
ОТм )*1,25;   
ОТ )*1,15;   
ЗТ )*1,15;   
ЗТм )*1,25;   
СП )*0,85</t>
    </r>
  </si>
  <si>
    <t>ФССЦ 09.2.03.02-0022</t>
  </si>
  <si>
    <t>НР Полы</t>
  </si>
  <si>
    <t>Пр/774-011.0;
п.16</t>
  </si>
  <si>
    <t>СП Полы</t>
  </si>
  <si>
    <t>ФЕР 10-01-039-02</t>
  </si>
  <si>
    <r>
      <t>Установка блоков в наружных и внутренних дверных проемах: в каменных стенах, площадь проема более 3 м2</t>
    </r>
    <r>
      <rPr>
        <i/>
        <sz val="10"/>
        <rFont val="Arial"/>
        <family val="2"/>
      </rPr>
      <t xml:space="preserve">
Поправки к: 
ЭМ )*1,25;   
ОТм )*1,25;   
ОТ )*1,15;   
ЗТ )*1,15;   
ЗТм )*1,25;   
СП )*0,85</t>
    </r>
  </si>
  <si>
    <t>НР Деревянные конструкции</t>
  </si>
  <si>
    <t>Пр/774-010.0;
п.16</t>
  </si>
  <si>
    <t>СП Деревянные конструкции</t>
  </si>
  <si>
    <t>ФЕР 10-01-049-02</t>
  </si>
  <si>
    <r>
      <t>Установка: дверного доводчика</t>
    </r>
    <r>
      <rPr>
        <i/>
        <sz val="10"/>
        <rFont val="Arial"/>
        <family val="2"/>
      </rPr>
      <t xml:space="preserve">
Поправки к: 
ЭМ )*1,25;   
ОТм )*1,25;   
ОТ )*1,15;   
ЗТ )*1,15;   
ЗТм )*1,25;   
СП )*0,85</t>
    </r>
  </si>
  <si>
    <t>Итого прямые затраты по разделу (в базисном и текущем уровнях цен)</t>
  </si>
  <si>
    <t>в том числе</t>
  </si>
  <si>
    <t xml:space="preserve">   оплата труда</t>
  </si>
  <si>
    <t xml:space="preserve">   эксплуатация машин и механизмов</t>
  </si>
  <si>
    <t xml:space="preserve">   материальные ресурсы</t>
  </si>
  <si>
    <t xml:space="preserve">   перевозка</t>
  </si>
  <si>
    <t>Итого ФОТ (в базисном и текущем уровне цен)(справочно)</t>
  </si>
  <si>
    <t>Итого накладные расходы (в базисном и текущем уровне цен)</t>
  </si>
  <si>
    <t>Итого сметная прибыль (в базисном и текущем уровне цен)</t>
  </si>
  <si>
    <t>Итого оборудование (в базисном и текущем уровне цен)</t>
  </si>
  <si>
    <t>Итого прочие затраты (в базисном и текущем уровне цен)</t>
  </si>
  <si>
    <t>Итого по разделу (в базисном и текущем уровне цен)</t>
  </si>
  <si>
    <t>справочно</t>
  </si>
  <si>
    <t xml:space="preserve">   материальные ресурсы, отсутствующие в СНБ (в текущем уровне цен)</t>
  </si>
  <si>
    <t xml:space="preserve">   оборудование, отсутствующие в СНБ (в текущем уровне цен)</t>
  </si>
  <si>
    <t>Раздел: Разные работы</t>
  </si>
  <si>
    <t>ФССЦ 01-01-01-041</t>
  </si>
  <si>
    <t>ФССЦ 03-01-01-050</t>
  </si>
  <si>
    <t>ВСЕГО по смете (в базисном и текущем уровнях цен)</t>
  </si>
  <si>
    <t>ВСЕГО прямые затраты по смете</t>
  </si>
  <si>
    <t>Всего ФОТ (справочно)</t>
  </si>
  <si>
    <t>Всего накладные расходы</t>
  </si>
  <si>
    <t>Всего сметная прибыль</t>
  </si>
  <si>
    <t>Всего оборудование</t>
  </si>
  <si>
    <t>Всего прочие затраты</t>
  </si>
  <si>
    <t xml:space="preserve">Составил   </t>
  </si>
  <si>
    <t>[должность,подпись(инициалы,фамилия)]</t>
  </si>
  <si>
    <t xml:space="preserve">Проверил   </t>
  </si>
  <si>
    <t>___________________________</t>
  </si>
  <si>
    <t>" ___ " ___________ 20 ___ г.</t>
  </si>
  <si>
    <t>№ в ЛСР</t>
  </si>
  <si>
    <t>Ссылка на чертежи, спецификации</t>
  </si>
  <si>
    <t>Формула расчета, расчет объемов работ и расхода материалов</t>
  </si>
  <si>
    <t>Примечание</t>
  </si>
  <si>
    <t>Главный инженер проекта _________________</t>
  </si>
  <si>
    <t>Составил _________________</t>
  </si>
  <si>
    <t>Унифицированная форма № КС-2</t>
  </si>
  <si>
    <t>Утверждена постановлением Госкомстата России</t>
  </si>
  <si>
    <t>от 11.11.99. № 100</t>
  </si>
  <si>
    <t>Код</t>
  </si>
  <si>
    <t>Форма по ОКУД</t>
  </si>
  <si>
    <t>0322005</t>
  </si>
  <si>
    <t>Инвестор</t>
  </si>
  <si>
    <t>по ОКПО</t>
  </si>
  <si>
    <t>организация, адрес, телефон, факс</t>
  </si>
  <si>
    <t>Заказчик</t>
  </si>
  <si>
    <t>Подрядчик</t>
  </si>
  <si>
    <t>Стройка</t>
  </si>
  <si>
    <t>наименование, адрес</t>
  </si>
  <si>
    <t>Объект</t>
  </si>
  <si>
    <t>наименование</t>
  </si>
  <si>
    <t xml:space="preserve">Вид деятельности по ОКДП  </t>
  </si>
  <si>
    <t xml:space="preserve">Договор подряда  </t>
  </si>
  <si>
    <t>номер</t>
  </si>
  <si>
    <t>дата</t>
  </si>
  <si>
    <t xml:space="preserve">Вид операции  </t>
  </si>
  <si>
    <t>Номер документа</t>
  </si>
  <si>
    <t>Дата составления</t>
  </si>
  <si>
    <t>Отчетный период</t>
  </si>
  <si>
    <t>с</t>
  </si>
  <si>
    <t>по</t>
  </si>
  <si>
    <t>AKT</t>
  </si>
  <si>
    <t>О ПРИЕМКЕ ВЫПОЛНЕННЫХ РАБОТ</t>
  </si>
  <si>
    <t>Сметная (договорная) стоимость в соответствии с договором подряда (субподряда)</t>
  </si>
  <si>
    <t xml:space="preserve"> тыс.руб</t>
  </si>
  <si>
    <t>Номер</t>
  </si>
  <si>
    <t>Наименование работ</t>
  </si>
  <si>
    <t>Номер единичной расценки</t>
  </si>
  <si>
    <t>Выполнено работ</t>
  </si>
  <si>
    <t>по порядку</t>
  </si>
  <si>
    <t>поз. по смете</t>
  </si>
  <si>
    <t>цена за единицу, руб</t>
  </si>
  <si>
    <t>стоимость, руб</t>
  </si>
  <si>
    <t>Коэфф. пересчёта: пункт</t>
  </si>
  <si>
    <t>Коэфф. к ОЗП</t>
  </si>
  <si>
    <t>Коэфф. к эксплуатации машин</t>
  </si>
  <si>
    <t>Коэфф. к материалам</t>
  </si>
  <si>
    <t>Коэфф. к ЗПМ</t>
  </si>
  <si>
    <t xml:space="preserve">Стоимость материалов </t>
  </si>
  <si>
    <t xml:space="preserve">Эксплуатация машин </t>
  </si>
  <si>
    <t xml:space="preserve">Оплата труда машинистов </t>
  </si>
  <si>
    <t xml:space="preserve">Оплата труда рабочих </t>
  </si>
  <si>
    <t xml:space="preserve">Затраты труда рабочих </t>
  </si>
  <si>
    <t xml:space="preserve">Затраты труда машинистов </t>
  </si>
  <si>
    <t xml:space="preserve">Сметная прибыль </t>
  </si>
  <si>
    <t>Коэфф. к сметной цене</t>
  </si>
  <si>
    <t xml:space="preserve">Сдал </t>
  </si>
  <si>
    <t>должность</t>
  </si>
  <si>
    <t>подпись</t>
  </si>
  <si>
    <t>расшифровка подпись</t>
  </si>
  <si>
    <t>М.П.</t>
  </si>
  <si>
    <t xml:space="preserve">Принял </t>
  </si>
  <si>
    <t xml:space="preserve">Мы, нижеподписавшиеся, произвели осмотр объекта </t>
  </si>
  <si>
    <t xml:space="preserve">и постановили произвести ремонт объекта в </t>
  </si>
  <si>
    <t>следующем объеме:</t>
  </si>
  <si>
    <t>Заказчик _________________</t>
  </si>
  <si>
    <t>Подрядчик _________________</t>
  </si>
  <si>
    <t>ТЦ_102_40_4007021423_26092023_01</t>
  </si>
  <si>
    <t>Выполнение ремонтных работ по замене светопрозрачных перегородок входа в блок 1 строения № 1 ИПУ РАН</t>
  </si>
  <si>
    <t>Главный инженер ИПУ РАН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</si>
</sst>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#,##0.00;[Red]\-\ #,##0.00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12"/>
      <name val="Arial"/>
      <family val="0"/>
    </font>
    <font>
      <sz val="10"/>
      <color indexed="18"/>
      <name val="Arial"/>
      <family val="0"/>
    </font>
    <font>
      <b/>
      <sz val="10"/>
      <color indexed="16"/>
      <name val="Arial"/>
      <family val="0"/>
    </font>
    <font>
      <b/>
      <sz val="10"/>
      <color indexed="20"/>
      <name val="Arial"/>
      <family val="0"/>
    </font>
    <font>
      <b/>
      <sz val="10"/>
      <color indexed="17"/>
      <name val="Arial"/>
      <family val="0"/>
    </font>
    <font>
      <b/>
      <sz val="10"/>
      <color indexed="14"/>
      <name val="Arial"/>
      <family val="0"/>
    </font>
    <font>
      <sz val="10"/>
      <color indexed="17"/>
      <name val="Arial"/>
      <family val="0"/>
    </font>
    <font>
      <sz val="10"/>
      <color indexed="12"/>
      <name val="Arial"/>
      <family val="0"/>
    </font>
    <font>
      <sz val="10"/>
      <color indexed="14"/>
      <name val="Arial"/>
      <family val="0"/>
    </font>
    <font>
      <sz val="10"/>
      <color indexed="16"/>
      <name val="Arial"/>
      <family val="0"/>
    </font>
    <font>
      <sz val="9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i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/>
      <bottom style="medium"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 wrapText="1"/>
    </xf>
    <xf numFmtId="0" fontId="17" fillId="0" borderId="0" xfId="0" applyFont="1" applyAlignment="1">
      <alignment vertical="center" wrapText="1"/>
    </xf>
    <xf numFmtId="0" fontId="17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16" fillId="0" borderId="0" xfId="0" applyFont="1" applyBorder="1" applyAlignment="1">
      <alignment vertical="top" wrapText="1"/>
    </xf>
    <xf numFmtId="0" fontId="19" fillId="0" borderId="0" xfId="0" applyFont="1" applyAlignment="1">
      <alignment/>
    </xf>
    <xf numFmtId="14" fontId="15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0" fillId="0" borderId="0" xfId="0" applyFont="1" applyAlignment="1">
      <alignment/>
    </xf>
    <xf numFmtId="164" fontId="15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165" fontId="15" fillId="0" borderId="0" xfId="0" applyNumberFormat="1" applyFont="1" applyAlignment="1">
      <alignment/>
    </xf>
    <xf numFmtId="0" fontId="2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15" fillId="0" borderId="10" xfId="0" applyFont="1" applyBorder="1" applyAlignment="1">
      <alignment/>
    </xf>
    <xf numFmtId="165" fontId="0" fillId="0" borderId="0" xfId="0" applyNumberFormat="1" applyAlignment="1">
      <alignment/>
    </xf>
    <xf numFmtId="165" fontId="15" fillId="0" borderId="0" xfId="0" applyNumberFormat="1" applyFont="1" applyAlignment="1">
      <alignment horizontal="right"/>
    </xf>
    <xf numFmtId="0" fontId="0" fillId="0" borderId="10" xfId="0" applyBorder="1" applyAlignment="1">
      <alignment/>
    </xf>
    <xf numFmtId="165" fontId="0" fillId="0" borderId="0" xfId="0" applyNumberFormat="1" applyFont="1" applyAlignment="1">
      <alignment horizontal="right"/>
    </xf>
    <xf numFmtId="165" fontId="15" fillId="0" borderId="0" xfId="0" applyNumberFormat="1" applyFont="1" applyFill="1" applyAlignment="1">
      <alignment/>
    </xf>
    <xf numFmtId="165" fontId="0" fillId="0" borderId="0" xfId="0" applyNumberFormat="1" applyFont="1" applyFill="1" applyBorder="1" applyAlignment="1">
      <alignment horizontal="right"/>
    </xf>
    <xf numFmtId="0" fontId="17" fillId="0" borderId="0" xfId="0" applyFont="1" applyAlignment="1">
      <alignment/>
    </xf>
    <xf numFmtId="0" fontId="15" fillId="0" borderId="10" xfId="0" applyFont="1" applyBorder="1" applyAlignment="1">
      <alignment horizontal="left" wrapText="1"/>
    </xf>
    <xf numFmtId="0" fontId="22" fillId="0" borderId="0" xfId="0" applyFont="1" applyAlignment="1">
      <alignment horizontal="right" wrapText="1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right" wrapText="1"/>
    </xf>
    <xf numFmtId="165" fontId="22" fillId="0" borderId="0" xfId="0" applyNumberFormat="1" applyFont="1" applyAlignment="1">
      <alignment horizontal="right"/>
    </xf>
    <xf numFmtId="0" fontId="22" fillId="0" borderId="10" xfId="0" applyFont="1" applyBorder="1" applyAlignment="1">
      <alignment horizontal="right" wrapText="1"/>
    </xf>
    <xf numFmtId="0" fontId="15" fillId="0" borderId="10" xfId="0" applyFont="1" applyBorder="1" applyAlignment="1">
      <alignment horizontal="right"/>
    </xf>
    <xf numFmtId="165" fontId="15" fillId="0" borderId="10" xfId="0" applyNumberFormat="1" applyFont="1" applyBorder="1" applyAlignment="1">
      <alignment horizontal="right"/>
    </xf>
    <xf numFmtId="0" fontId="15" fillId="0" borderId="10" xfId="0" applyFont="1" applyBorder="1" applyAlignment="1">
      <alignment horizontal="right" wrapText="1"/>
    </xf>
    <xf numFmtId="0" fontId="17" fillId="0" borderId="0" xfId="0" applyFont="1" applyAlignment="1">
      <alignment horizontal="right"/>
    </xf>
    <xf numFmtId="165" fontId="17" fillId="0" borderId="0" xfId="0" applyNumberFormat="1" applyFont="1" applyAlignment="1">
      <alignment horizontal="right"/>
    </xf>
    <xf numFmtId="0" fontId="17" fillId="0" borderId="0" xfId="0" applyFont="1" applyAlignment="1">
      <alignment vertical="center"/>
    </xf>
    <xf numFmtId="0" fontId="19" fillId="0" borderId="0" xfId="0" applyFont="1" applyAlignment="1">
      <alignment horizontal="left" vertical="center" wrapText="1"/>
    </xf>
    <xf numFmtId="0" fontId="17" fillId="0" borderId="0" xfId="0" applyFont="1" applyAlignment="1">
      <alignment horizontal="right" vertical="center"/>
    </xf>
    <xf numFmtId="165" fontId="17" fillId="0" borderId="0" xfId="0" applyNumberFormat="1" applyFont="1" applyAlignment="1">
      <alignment horizontal="right" vertical="center"/>
    </xf>
    <xf numFmtId="0" fontId="15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0" fontId="15" fillId="0" borderId="0" xfId="0" applyFont="1" applyAlignment="1">
      <alignment horizontal="right" vertical="center"/>
    </xf>
    <xf numFmtId="165" fontId="15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right" vertical="top" wrapText="1"/>
    </xf>
    <xf numFmtId="0" fontId="15" fillId="0" borderId="10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14" fillId="0" borderId="10" xfId="0" applyFont="1" applyBorder="1" applyAlignment="1">
      <alignment horizont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Border="1" applyAlignment="1">
      <alignment horizontal="right"/>
    </xf>
    <xf numFmtId="0" fontId="17" fillId="0" borderId="0" xfId="0" applyFont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15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14" fontId="0" fillId="0" borderId="12" xfId="0" applyNumberFormat="1" applyFont="1" applyBorder="1" applyAlignment="1">
      <alignment horizontal="center"/>
    </xf>
    <xf numFmtId="0" fontId="17" fillId="0" borderId="0" xfId="0" applyFont="1" applyAlignment="1">
      <alignment horizontal="left" wrapText="1"/>
    </xf>
    <xf numFmtId="0" fontId="15" fillId="0" borderId="15" xfId="0" applyFont="1" applyBorder="1" applyAlignment="1">
      <alignment horizontal="left" vertical="center" shrinkToFit="1"/>
    </xf>
    <xf numFmtId="0" fontId="15" fillId="0" borderId="15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top" shrinkToFit="1"/>
    </xf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 horizontal="center" wrapText="1"/>
    </xf>
    <xf numFmtId="0" fontId="15" fillId="0" borderId="13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12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left" wrapText="1"/>
    </xf>
    <xf numFmtId="0" fontId="15" fillId="0" borderId="12" xfId="0" applyFont="1" applyBorder="1" applyAlignment="1">
      <alignment horizontal="right" wrapText="1"/>
    </xf>
    <xf numFmtId="0" fontId="15" fillId="0" borderId="12" xfId="0" applyFont="1" applyBorder="1" applyAlignment="1">
      <alignment horizontal="right"/>
    </xf>
    <xf numFmtId="0" fontId="15" fillId="0" borderId="13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wrapText="1"/>
    </xf>
    <xf numFmtId="0" fontId="15" fillId="0" borderId="13" xfId="0" applyFont="1" applyBorder="1" applyAlignment="1">
      <alignment horizontal="right" wrapText="1"/>
    </xf>
    <xf numFmtId="0" fontId="15" fillId="0" borderId="13" xfId="0" applyFont="1" applyBorder="1" applyAlignment="1">
      <alignment horizontal="right"/>
    </xf>
    <xf numFmtId="2" fontId="15" fillId="0" borderId="0" xfId="0" applyNumberFormat="1" applyFont="1" applyAlignment="1">
      <alignment horizontal="right"/>
    </xf>
    <xf numFmtId="2" fontId="15" fillId="0" borderId="10" xfId="0" applyNumberFormat="1" applyFont="1" applyBorder="1" applyAlignment="1">
      <alignment horizontal="right"/>
    </xf>
    <xf numFmtId="164" fontId="15" fillId="0" borderId="10" xfId="0" applyNumberFormat="1" applyFont="1" applyBorder="1" applyAlignment="1">
      <alignment horizontal="right"/>
    </xf>
    <xf numFmtId="0" fontId="15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165" fontId="17" fillId="0" borderId="16" xfId="0" applyNumberFormat="1" applyFont="1" applyBorder="1" applyAlignment="1">
      <alignment horizontal="right"/>
    </xf>
    <xf numFmtId="0" fontId="17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wrapText="1"/>
    </xf>
    <xf numFmtId="0" fontId="12" fillId="0" borderId="16" xfId="0" applyFont="1" applyBorder="1" applyAlignment="1">
      <alignment horizontal="center"/>
    </xf>
    <xf numFmtId="0" fontId="15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left"/>
    </xf>
    <xf numFmtId="0" fontId="0" fillId="0" borderId="1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top" wrapText="1"/>
    </xf>
    <xf numFmtId="165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2" fontId="0" fillId="0" borderId="0" xfId="0" applyNumberFormat="1" applyFont="1" applyFill="1" applyAlignment="1">
      <alignment horizontal="right"/>
    </xf>
    <xf numFmtId="0" fontId="14" fillId="0" borderId="10" xfId="0" applyFont="1" applyBorder="1" applyAlignment="1">
      <alignment horizontal="center" wrapText="1"/>
    </xf>
    <xf numFmtId="0" fontId="16" fillId="0" borderId="16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/>
    </xf>
    <xf numFmtId="0" fontId="15" fillId="0" borderId="0" xfId="0" applyFont="1" applyBorder="1" applyAlignment="1">
      <alignment horizontal="left" wrapText="1"/>
    </xf>
    <xf numFmtId="0" fontId="0" fillId="0" borderId="0" xfId="0" applyFont="1" applyAlignment="1">
      <alignment horizontal="left" vertical="top" wrapText="1"/>
    </xf>
    <xf numFmtId="0" fontId="14" fillId="0" borderId="0" xfId="0" applyFont="1" applyAlignment="1">
      <alignment horizontal="left"/>
    </xf>
    <xf numFmtId="0" fontId="13" fillId="0" borderId="13" xfId="0" applyFont="1" applyBorder="1" applyAlignment="1">
      <alignment horizontal="center" wrapText="1"/>
    </xf>
    <xf numFmtId="0" fontId="17" fillId="0" borderId="0" xfId="0" applyFont="1" applyBorder="1" applyAlignment="1">
      <alignment horizontal="right"/>
    </xf>
    <xf numFmtId="0" fontId="14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5" fillId="0" borderId="0" xfId="0" applyFont="1" applyAlignment="1">
      <alignment horizontal="right" vertical="center" shrinkToFit="1"/>
    </xf>
    <xf numFmtId="0" fontId="15" fillId="0" borderId="15" xfId="0" applyFont="1" applyBorder="1" applyAlignment="1">
      <alignment horizontal="left" vertical="center" shrinkToFit="1"/>
    </xf>
    <xf numFmtId="0" fontId="12" fillId="0" borderId="24" xfId="0" applyFont="1" applyBorder="1" applyAlignment="1">
      <alignment horizontal="center" vertical="top" shrinkToFit="1"/>
    </xf>
    <xf numFmtId="165" fontId="15" fillId="0" borderId="0" xfId="0" applyNumberFormat="1" applyFont="1" applyAlignment="1">
      <alignment horizontal="right"/>
    </xf>
    <xf numFmtId="0" fontId="0" fillId="0" borderId="0" xfId="0" applyFont="1" applyAlignment="1" quotePrefix="1">
      <alignment vertical="top" wrapText="1"/>
    </xf>
    <xf numFmtId="165" fontId="17" fillId="0" borderId="10" xfId="0" applyNumberFormat="1" applyFont="1" applyBorder="1" applyAlignment="1">
      <alignment horizontal="right"/>
    </xf>
    <xf numFmtId="0" fontId="15" fillId="0" borderId="12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5" fillId="0" borderId="21" xfId="0" applyFont="1" applyBorder="1" applyAlignment="1">
      <alignment horizontal="right"/>
    </xf>
    <xf numFmtId="0" fontId="15" fillId="0" borderId="14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14" fontId="15" fillId="0" borderId="14" xfId="0" applyNumberFormat="1" applyFont="1" applyBorder="1" applyAlignment="1">
      <alignment horizontal="center"/>
    </xf>
    <xf numFmtId="14" fontId="15" fillId="0" borderId="19" xfId="0" applyNumberFormat="1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10" xfId="0" applyFont="1" applyBorder="1" applyAlignment="1">
      <alignment horizontal="left" wrapText="1"/>
    </xf>
    <xf numFmtId="0" fontId="15" fillId="0" borderId="20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15" fillId="0" borderId="14" xfId="0" applyFont="1" applyBorder="1" applyAlignment="1" quotePrefix="1">
      <alignment horizontal="center"/>
    </xf>
    <xf numFmtId="0" fontId="14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236"/>
  <sheetViews>
    <sheetView tabSelected="1" view="pageBreakPreview" zoomScaleSheetLayoutView="100" zoomScalePageLayoutView="0" workbookViewId="0" topLeftCell="A1">
      <selection activeCell="J20" sqref="J20"/>
    </sheetView>
  </sheetViews>
  <sheetFormatPr defaultColWidth="9.140625" defaultRowHeight="12.75"/>
  <cols>
    <col min="1" max="1" width="5.7109375" style="0" customWidth="1"/>
    <col min="2" max="2" width="20.7109375" style="0" customWidth="1"/>
    <col min="3" max="3" width="40.7109375" style="0" customWidth="1"/>
    <col min="4" max="4" width="10.7109375" style="0" customWidth="1"/>
    <col min="5" max="12" width="14.7109375" style="0" customWidth="1"/>
    <col min="15" max="91" width="0" style="0" hidden="1" customWidth="1"/>
    <col min="92" max="92" width="171.7109375" style="0" hidden="1" customWidth="1"/>
    <col min="93" max="93" width="0" style="0" hidden="1" customWidth="1"/>
    <col min="94" max="94" width="190.7109375" style="0" hidden="1" customWidth="1"/>
    <col min="95" max="95" width="109.7109375" style="0" hidden="1" customWidth="1"/>
    <col min="96" max="99" width="0" style="0" hidden="1" customWidth="1"/>
  </cols>
  <sheetData>
    <row r="1" ht="12.75">
      <c r="A1" s="12" t="str">
        <f>Source!B1</f>
        <v>Smeta.RU  (495) 974-1589</v>
      </c>
    </row>
    <row r="3" spans="1:12" ht="16.5">
      <c r="A3" s="13"/>
      <c r="B3" s="148" t="s">
        <v>387</v>
      </c>
      <c r="C3" s="148"/>
      <c r="D3" s="148"/>
      <c r="E3" s="148"/>
      <c r="F3" s="14"/>
      <c r="G3" s="14"/>
      <c r="H3" s="148" t="s">
        <v>388</v>
      </c>
      <c r="I3" s="148"/>
      <c r="J3" s="148"/>
      <c r="K3" s="148"/>
      <c r="L3" s="148"/>
    </row>
    <row r="4" spans="1:12" ht="14.25">
      <c r="A4" s="14"/>
      <c r="B4" s="124"/>
      <c r="C4" s="124"/>
      <c r="D4" s="124"/>
      <c r="E4" s="124"/>
      <c r="F4" s="14"/>
      <c r="G4" s="14"/>
      <c r="H4" s="124" t="s">
        <v>568</v>
      </c>
      <c r="I4" s="124"/>
      <c r="J4" s="124"/>
      <c r="K4" s="124"/>
      <c r="L4" s="124"/>
    </row>
    <row r="5" spans="1:12" ht="14.25">
      <c r="A5" s="15"/>
      <c r="B5" s="15"/>
      <c r="C5" s="16"/>
      <c r="D5" s="16"/>
      <c r="E5" s="16"/>
      <c r="F5" s="14"/>
      <c r="G5" s="14"/>
      <c r="H5" s="17"/>
      <c r="I5" s="16"/>
      <c r="J5" s="16"/>
      <c r="K5" s="16"/>
      <c r="L5" s="17"/>
    </row>
    <row r="6" spans="1:12" ht="14.25">
      <c r="A6" s="17"/>
      <c r="B6" s="124" t="str">
        <f>CONCATENATE("______________________ ",IF(Source!AL12&lt;&gt;"",Source!AL12,""))</f>
        <v>______________________ </v>
      </c>
      <c r="C6" s="124"/>
      <c r="D6" s="124"/>
      <c r="E6" s="124"/>
      <c r="F6" s="14"/>
      <c r="G6" s="14"/>
      <c r="H6" s="124" t="str">
        <f>CONCATENATE("______________________Муравьев К.В.")</f>
        <v>______________________Муравьев К.В.</v>
      </c>
      <c r="I6" s="124"/>
      <c r="J6" s="124"/>
      <c r="K6" s="124"/>
      <c r="L6" s="124"/>
    </row>
    <row r="7" spans="1:12" ht="14.25">
      <c r="A7" s="18"/>
      <c r="B7" s="146" t="s">
        <v>389</v>
      </c>
      <c r="C7" s="146"/>
      <c r="D7" s="146"/>
      <c r="E7" s="146"/>
      <c r="F7" s="14"/>
      <c r="G7" s="14"/>
      <c r="H7" s="146" t="s">
        <v>389</v>
      </c>
      <c r="I7" s="146"/>
      <c r="J7" s="146"/>
      <c r="K7" s="146"/>
      <c r="L7" s="146"/>
    </row>
    <row r="10" spans="1:94" ht="38.25">
      <c r="A10" s="147" t="str">
        <f>Source!CQ12</f>
        <v>ГОСУДАРСТВЕННЫЕ СМЕТНЫЕ НОРМАТИВЫ (ФЕР-2020), утвержденные приказами Минстроя России от 26 декабря 2019 г.   № 876/пр (в редакции приказов Минстроя РФ от 30 марта 2020 г. № 172/пр, от 1 июня 2020 г. № 294/пр, от 30 июня 2020 г. № 352/пр,   от 20 октября 2020 г. № 636/пр, от 9 февраля 2021 г. № 51/пр, от 24 мая 2021 г. № 321/пр, от 24 июня 2021 г. № 408/пр,  от 14 октября 2021 № 746/пр, от 20 декабря 2021 № 962/пр)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CP10" s="77" t="str">
        <f>Source!CQ12</f>
        <v>ГОСУДАРСТВЕННЫЕ СМЕТНЫЕ НОРМАТИВЫ (ФЕР-2020), утвержденные приказами Минстроя России от 26 декабря 2019 г.   № 876/пр (в редакции приказов Минстроя РФ от 30 марта 2020 г. № 172/пр, от 1 июня 2020 г. № 294/пр, от 30 июня 2020 г. № 352/пр,   от 20 октября 2020 г. № 636/пр, от 9 февраля 2021 г. № 51/пр, от 24 мая 2021 г. № 321/пр, от 24 июня 2021 г. № 408/пр,  от 14 октября 2021 № 746/пр, от 20 декабря 2021 № 962/пр)</v>
      </c>
    </row>
    <row r="11" spans="1:11" ht="12.75">
      <c r="A11" s="11"/>
      <c r="B11" s="11"/>
      <c r="D11" s="19"/>
      <c r="E11" s="19"/>
      <c r="F11" s="19"/>
      <c r="G11" s="19"/>
      <c r="H11" s="19"/>
      <c r="I11" s="19"/>
      <c r="J11" s="19"/>
      <c r="K11" s="19"/>
    </row>
    <row r="12" spans="1:11" ht="12.75">
      <c r="A12" s="147" t="s">
        <v>423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</row>
    <row r="15" spans="1:12" ht="15.75">
      <c r="A15" s="18"/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8"/>
    </row>
    <row r="16" spans="1:12" ht="14.25">
      <c r="A16" s="20"/>
      <c r="B16" s="142" t="s">
        <v>390</v>
      </c>
      <c r="C16" s="142"/>
      <c r="D16" s="142"/>
      <c r="E16" s="142"/>
      <c r="F16" s="142"/>
      <c r="G16" s="142"/>
      <c r="H16" s="142"/>
      <c r="I16" s="142"/>
      <c r="J16" s="142"/>
      <c r="K16" s="142"/>
      <c r="L16" s="18"/>
    </row>
    <row r="17" spans="1:12" ht="14.2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92" ht="15.75">
      <c r="A18" s="14"/>
      <c r="B18" s="141" t="s">
        <v>567</v>
      </c>
      <c r="C18" s="141"/>
      <c r="D18" s="141"/>
      <c r="E18" s="141"/>
      <c r="F18" s="141"/>
      <c r="G18" s="141"/>
      <c r="H18" s="141"/>
      <c r="I18" s="141"/>
      <c r="J18" s="141"/>
      <c r="K18" s="141"/>
      <c r="L18" s="14"/>
      <c r="CN18" s="78" t="str">
        <f>IF(Source!G12&lt;&gt;"Новый объект",Source!G12,"")</f>
        <v>Выполнение работ по замене светопрозрачных перегородок входа в блок 1 строения № 1 ИПУ РАН</v>
      </c>
    </row>
    <row r="19" spans="1:12" ht="14.25">
      <c r="A19" s="14"/>
      <c r="B19" s="142" t="s">
        <v>391</v>
      </c>
      <c r="C19" s="142"/>
      <c r="D19" s="142"/>
      <c r="E19" s="142"/>
      <c r="F19" s="142"/>
      <c r="G19" s="142"/>
      <c r="H19" s="142"/>
      <c r="I19" s="142"/>
      <c r="J19" s="142"/>
      <c r="K19" s="142"/>
      <c r="L19" s="14"/>
    </row>
    <row r="20" spans="1:12" ht="14.25">
      <c r="A20" s="14"/>
      <c r="B20" s="14"/>
      <c r="C20" s="14"/>
      <c r="D20" s="14"/>
      <c r="E20" s="14"/>
      <c r="F20" s="21"/>
      <c r="G20" s="21"/>
      <c r="H20" s="21" t="s">
        <v>3</v>
      </c>
      <c r="I20" s="21"/>
      <c r="J20" s="21"/>
      <c r="K20" s="21"/>
      <c r="L20" s="21"/>
    </row>
    <row r="21" spans="1:12" ht="15.75">
      <c r="A21" s="22"/>
      <c r="B21" s="143" t="str">
        <f>CONCATENATE("ЛОКАЛЬНАЯ СМЕТА № ",Source!F20," ",Source!CM20)</f>
        <v>ЛОКАЛЬНАЯ СМЕТА №  </v>
      </c>
      <c r="C21" s="143"/>
      <c r="D21" s="143"/>
      <c r="E21" s="143"/>
      <c r="F21" s="143"/>
      <c r="G21" s="143"/>
      <c r="H21" s="143"/>
      <c r="I21" s="143"/>
      <c r="J21" s="143"/>
      <c r="K21" s="143"/>
      <c r="L21" s="22"/>
    </row>
    <row r="22" spans="1:12" ht="15">
      <c r="A22" s="22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2"/>
    </row>
    <row r="23" spans="1:12" ht="18">
      <c r="A23" s="14"/>
      <c r="B23" s="144">
        <f>IF(Source!G20&lt;&gt;"Новая локальная смета",Source!G20,"")</f>
      </c>
      <c r="C23" s="144"/>
      <c r="D23" s="144"/>
      <c r="E23" s="144"/>
      <c r="F23" s="144"/>
      <c r="G23" s="144"/>
      <c r="H23" s="144"/>
      <c r="I23" s="144"/>
      <c r="J23" s="144"/>
      <c r="K23" s="144"/>
      <c r="L23" s="24"/>
    </row>
    <row r="24" spans="1:12" ht="14.25">
      <c r="A24" s="14"/>
      <c r="B24" s="142" t="s">
        <v>392</v>
      </c>
      <c r="C24" s="142"/>
      <c r="D24" s="142"/>
      <c r="E24" s="142"/>
      <c r="F24" s="142"/>
      <c r="G24" s="142"/>
      <c r="H24" s="142"/>
      <c r="I24" s="142"/>
      <c r="J24" s="142"/>
      <c r="K24" s="142"/>
      <c r="L24" s="18"/>
    </row>
    <row r="25" spans="1:12" ht="14.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</row>
    <row r="26" spans="1:12" ht="14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</row>
    <row r="27" spans="1:12" ht="12.75">
      <c r="A27" s="11" t="s">
        <v>393</v>
      </c>
      <c r="B27" s="11"/>
      <c r="C27" s="25" t="s">
        <v>424</v>
      </c>
      <c r="D27" s="11" t="s">
        <v>394</v>
      </c>
      <c r="E27" s="11"/>
      <c r="F27" s="11"/>
      <c r="G27" s="11"/>
      <c r="H27" s="11"/>
      <c r="I27" s="11"/>
      <c r="J27" s="11"/>
      <c r="K27" s="11"/>
      <c r="L27" s="11"/>
    </row>
    <row r="28" spans="1:12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12.75">
      <c r="A29" s="11" t="s">
        <v>395</v>
      </c>
      <c r="B29" s="11"/>
      <c r="C29" s="145"/>
      <c r="D29" s="145"/>
      <c r="E29" s="145"/>
      <c r="F29" s="145"/>
      <c r="G29" s="145"/>
      <c r="H29" s="11"/>
      <c r="I29" s="11"/>
      <c r="J29" s="11"/>
      <c r="K29" s="11"/>
      <c r="L29" s="26"/>
    </row>
    <row r="30" spans="1:12" ht="12.75">
      <c r="A30" s="27"/>
      <c r="B30" s="28"/>
      <c r="C30" s="137" t="s">
        <v>396</v>
      </c>
      <c r="D30" s="137"/>
      <c r="E30" s="137"/>
      <c r="F30" s="137"/>
      <c r="G30" s="137"/>
      <c r="H30" s="29"/>
      <c r="I30" s="29"/>
      <c r="J30" s="29"/>
      <c r="K30" s="29"/>
      <c r="L30" s="29"/>
    </row>
    <row r="31" spans="1:12" ht="14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</row>
    <row r="32" spans="1:12" ht="14.25">
      <c r="A32" s="30" t="s">
        <v>425</v>
      </c>
      <c r="B32" s="14"/>
      <c r="C32" s="14"/>
      <c r="D32" s="31"/>
      <c r="E32" s="32"/>
      <c r="F32" s="14"/>
      <c r="G32" s="14"/>
      <c r="H32" s="14"/>
      <c r="I32" s="14"/>
      <c r="J32" s="14"/>
      <c r="K32" s="14"/>
      <c r="L32" s="14"/>
    </row>
    <row r="33" spans="1:12" ht="14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</row>
    <row r="34" spans="1:12" ht="14.25">
      <c r="A34" s="30" t="s">
        <v>397</v>
      </c>
      <c r="B34" s="14"/>
      <c r="C34" s="51">
        <f>C37+C38+C39+C40</f>
        <v>1533.33</v>
      </c>
      <c r="D34" s="138">
        <f>D37+D38+D39+D40</f>
        <v>1336.82</v>
      </c>
      <c r="E34" s="139"/>
      <c r="F34" s="33" t="s">
        <v>398</v>
      </c>
      <c r="G34" s="34"/>
      <c r="H34" s="34"/>
      <c r="I34" s="34"/>
      <c r="J34" s="34"/>
      <c r="K34" s="14"/>
      <c r="L34" s="14"/>
    </row>
    <row r="35" spans="1:12" ht="14.25">
      <c r="A35" s="14"/>
      <c r="B35" s="14"/>
      <c r="C35" s="44"/>
      <c r="D35" s="52"/>
      <c r="E35" s="34"/>
      <c r="F35" s="33"/>
      <c r="G35" s="33" t="s">
        <v>399</v>
      </c>
      <c r="H35" s="34"/>
      <c r="I35" s="34"/>
      <c r="J35" s="34"/>
      <c r="K35" s="14"/>
      <c r="L35" s="14"/>
    </row>
    <row r="36" spans="1:12" ht="14.25">
      <c r="A36" s="14"/>
      <c r="B36" s="35" t="s">
        <v>400</v>
      </c>
      <c r="C36" s="44"/>
      <c r="D36" s="52"/>
      <c r="E36" s="36"/>
      <c r="F36" s="33"/>
      <c r="G36" s="33" t="s">
        <v>401</v>
      </c>
      <c r="H36" s="34" t="s">
        <v>402</v>
      </c>
      <c r="I36" s="37">
        <f>ROUND(SUM(U47:U229)/1000,2)</f>
        <v>72.37</v>
      </c>
      <c r="J36" s="37">
        <f>ROUND((SUM(Q47:Q229))/1000,2)</f>
        <v>1.94</v>
      </c>
      <c r="K36" s="11" t="s">
        <v>398</v>
      </c>
      <c r="L36" s="14"/>
    </row>
    <row r="37" spans="1:12" ht="14.25">
      <c r="A37" s="14"/>
      <c r="B37" s="30" t="s">
        <v>403</v>
      </c>
      <c r="C37" s="51">
        <f>ROUND((Source!P151)/1000,2)</f>
        <v>1276.37</v>
      </c>
      <c r="D37" s="138">
        <f>ROUND((SUM(AN47:AN229)+SUM(AR47:AR229))/1000,2)</f>
        <v>1079.86</v>
      </c>
      <c r="E37" s="139"/>
      <c r="F37" s="33" t="s">
        <v>398</v>
      </c>
      <c r="G37" s="33" t="s">
        <v>404</v>
      </c>
      <c r="H37" s="34"/>
      <c r="I37" s="33"/>
      <c r="J37" s="53">
        <f>Source!P156</f>
        <v>196.45770199999998</v>
      </c>
      <c r="K37" s="11" t="s">
        <v>279</v>
      </c>
      <c r="L37" s="14"/>
    </row>
    <row r="38" spans="1:12" ht="14.25">
      <c r="A38" s="14"/>
      <c r="B38" s="30" t="s">
        <v>405</v>
      </c>
      <c r="C38" s="51">
        <f>ROUND((Source!P152)/1000,2)</f>
        <v>256.96</v>
      </c>
      <c r="D38" s="138">
        <f>ROUND((SUM(AX47:AX229)+SUM(BB47:BB229))/1000,2)</f>
        <v>256.96</v>
      </c>
      <c r="E38" s="139"/>
      <c r="F38" s="33" t="s">
        <v>398</v>
      </c>
      <c r="G38" s="33" t="s">
        <v>406</v>
      </c>
      <c r="H38" s="34"/>
      <c r="I38" s="33"/>
      <c r="J38" s="53">
        <f>Source!P157</f>
        <v>5.1020650000000005</v>
      </c>
      <c r="K38" s="11" t="s">
        <v>279</v>
      </c>
      <c r="L38" s="14"/>
    </row>
    <row r="39" spans="1:12" ht="14.25">
      <c r="A39" s="14"/>
      <c r="B39" s="30" t="s">
        <v>407</v>
      </c>
      <c r="C39" s="51">
        <f>ROUND((Source!P143)/1000,2)</f>
        <v>0</v>
      </c>
      <c r="D39" s="138">
        <f>ROUND((SUM(BH47:BH229)+SUM(BI47:BI229))/1000,2)</f>
        <v>0</v>
      </c>
      <c r="E39" s="139"/>
      <c r="F39" s="33" t="s">
        <v>398</v>
      </c>
      <c r="G39" s="33" t="s">
        <v>408</v>
      </c>
      <c r="H39" s="34"/>
      <c r="I39" s="33"/>
      <c r="J39" s="38"/>
      <c r="K39" s="14"/>
      <c r="L39" s="14"/>
    </row>
    <row r="40" spans="1:12" ht="14.25">
      <c r="A40" s="14"/>
      <c r="B40" s="30" t="s">
        <v>409</v>
      </c>
      <c r="C40" s="51">
        <f>ROUND((Source!P153+Source!P154)/1000,2)</f>
        <v>0</v>
      </c>
      <c r="D40" s="138">
        <f>ROUND((SUM(BM47:BM229)+SUM(BN47:BN229)+SUM(BO47:BO229)+SUM(BP47:BP229))/1000,2)</f>
        <v>0</v>
      </c>
      <c r="E40" s="140"/>
      <c r="F40" s="33" t="s">
        <v>398</v>
      </c>
      <c r="G40" s="33" t="s">
        <v>410</v>
      </c>
      <c r="H40" s="34"/>
      <c r="I40" s="33">
        <f>Source!I20</f>
        <v>0</v>
      </c>
      <c r="J40" s="39">
        <f>Source!H20</f>
      </c>
      <c r="K40" s="14"/>
      <c r="L40" s="14"/>
    </row>
    <row r="41" spans="1:12" ht="14.25">
      <c r="A41" s="14"/>
      <c r="B41" s="14"/>
      <c r="C41" s="14"/>
      <c r="D41" s="34"/>
      <c r="E41" s="34"/>
      <c r="F41" s="34"/>
      <c r="G41" s="34"/>
      <c r="H41" s="34"/>
      <c r="I41" s="34"/>
      <c r="J41" s="34"/>
      <c r="K41" s="14"/>
      <c r="L41" s="14"/>
    </row>
    <row r="42" spans="1:12" ht="12.75">
      <c r="A42" s="125" t="s">
        <v>411</v>
      </c>
      <c r="B42" s="125" t="s">
        <v>412</v>
      </c>
      <c r="C42" s="125" t="s">
        <v>413</v>
      </c>
      <c r="D42" s="125" t="s">
        <v>414</v>
      </c>
      <c r="E42" s="128" t="s">
        <v>415</v>
      </c>
      <c r="F42" s="129"/>
      <c r="G42" s="130"/>
      <c r="H42" s="128" t="s">
        <v>416</v>
      </c>
      <c r="I42" s="129"/>
      <c r="J42" s="130"/>
      <c r="K42" s="125" t="s">
        <v>417</v>
      </c>
      <c r="L42" s="125" t="s">
        <v>418</v>
      </c>
    </row>
    <row r="43" spans="1:12" ht="12.75">
      <c r="A43" s="126"/>
      <c r="B43" s="126"/>
      <c r="C43" s="126"/>
      <c r="D43" s="126"/>
      <c r="E43" s="131"/>
      <c r="F43" s="132"/>
      <c r="G43" s="133"/>
      <c r="H43" s="131"/>
      <c r="I43" s="132"/>
      <c r="J43" s="133"/>
      <c r="K43" s="126"/>
      <c r="L43" s="126"/>
    </row>
    <row r="44" spans="1:12" ht="12.75">
      <c r="A44" s="126"/>
      <c r="B44" s="126"/>
      <c r="C44" s="126"/>
      <c r="D44" s="126"/>
      <c r="E44" s="134"/>
      <c r="F44" s="135"/>
      <c r="G44" s="136"/>
      <c r="H44" s="134"/>
      <c r="I44" s="135"/>
      <c r="J44" s="136"/>
      <c r="K44" s="126"/>
      <c r="L44" s="126"/>
    </row>
    <row r="45" spans="1:12" ht="25.5">
      <c r="A45" s="127"/>
      <c r="B45" s="127"/>
      <c r="C45" s="127"/>
      <c r="D45" s="127"/>
      <c r="E45" s="40" t="s">
        <v>419</v>
      </c>
      <c r="F45" s="40" t="s">
        <v>420</v>
      </c>
      <c r="G45" s="40" t="s">
        <v>421</v>
      </c>
      <c r="H45" s="40" t="s">
        <v>419</v>
      </c>
      <c r="I45" s="40" t="s">
        <v>420</v>
      </c>
      <c r="J45" s="40" t="s">
        <v>422</v>
      </c>
      <c r="K45" s="127"/>
      <c r="L45" s="127"/>
    </row>
    <row r="46" spans="1:12" ht="14.25">
      <c r="A46" s="41">
        <v>1</v>
      </c>
      <c r="B46" s="41">
        <v>2</v>
      </c>
      <c r="C46" s="41">
        <v>3</v>
      </c>
      <c r="D46" s="41">
        <v>4</v>
      </c>
      <c r="E46" s="41">
        <v>5</v>
      </c>
      <c r="F46" s="41">
        <v>6</v>
      </c>
      <c r="G46" s="41">
        <v>7</v>
      </c>
      <c r="H46" s="41">
        <v>8</v>
      </c>
      <c r="I46" s="41">
        <v>9</v>
      </c>
      <c r="J46" s="41">
        <v>10</v>
      </c>
      <c r="K46" s="42">
        <v>11</v>
      </c>
      <c r="L46" s="43">
        <v>12</v>
      </c>
    </row>
    <row r="48" spans="1:12" ht="16.5">
      <c r="A48" s="119" t="s">
        <v>426</v>
      </c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</row>
    <row r="49" spans="1:56" ht="146.25">
      <c r="A49" s="74">
        <v>1</v>
      </c>
      <c r="B49" s="74" t="s">
        <v>427</v>
      </c>
      <c r="C49" s="74" t="s">
        <v>428</v>
      </c>
      <c r="D49" s="56" t="str">
        <f>Source!DW29</f>
        <v>100 м2</v>
      </c>
      <c r="E49" s="57">
        <f>Source!K29</f>
        <v>0.32</v>
      </c>
      <c r="F49" s="57"/>
      <c r="G49" s="57">
        <f>Source!I29</f>
        <v>0.32</v>
      </c>
      <c r="H49" s="49"/>
      <c r="I49" s="58"/>
      <c r="J49" s="49"/>
      <c r="K49" s="58"/>
      <c r="L49" s="49"/>
      <c r="AG49">
        <f>ROUND((Source!AT29/100)*((ROUND(Source!AF29*Source!I29,2)+ROUND(Source!AE29*Source!I29,2))),2)</f>
        <v>631.39</v>
      </c>
      <c r="AH49">
        <f>Source!X29</f>
        <v>23575.93</v>
      </c>
      <c r="AI49">
        <f>ROUND((Source!AU29/100)*((ROUND(Source!AF29*Source!I29,2)+ROUND(Source!AE29*Source!I29,2))),2)</f>
        <v>420.92</v>
      </c>
      <c r="AJ49">
        <f>Source!Y29</f>
        <v>15717.29</v>
      </c>
      <c r="AS49">
        <f>IF(Source!BI29&lt;=1,AH49,0)</f>
        <v>23575.93</v>
      </c>
      <c r="AT49">
        <f>IF(Source!BI29&lt;=1,AJ49,0)</f>
        <v>15717.29</v>
      </c>
      <c r="BC49">
        <f>IF(Source!BI29=2,AH49,0)</f>
        <v>0</v>
      </c>
      <c r="BD49">
        <f>IF(Source!BI29=2,AJ49,0)</f>
        <v>0</v>
      </c>
    </row>
    <row r="50" ht="25.5">
      <c r="B50" s="45" t="str">
        <f>Source!EO29</f>
        <v>Поправка: МР 571/пр Табл.2, п.4</v>
      </c>
    </row>
    <row r="51" ht="12.75">
      <c r="C51" s="46" t="str">
        <f>"Объем: "&amp;Source!K29&amp;"=32/"&amp;"100"</f>
        <v>Объем: 0,32=32/100</v>
      </c>
    </row>
    <row r="52" spans="1:12" ht="14.25">
      <c r="A52" s="74"/>
      <c r="B52" s="75">
        <v>1</v>
      </c>
      <c r="C52" s="74" t="s">
        <v>429</v>
      </c>
      <c r="D52" s="56"/>
      <c r="E52" s="57"/>
      <c r="F52" s="57"/>
      <c r="G52" s="57"/>
      <c r="H52" s="49">
        <f>Source!AO29</f>
        <v>2997.88</v>
      </c>
      <c r="I52" s="58">
        <f>ROUND(0.7,7)</f>
        <v>0.7</v>
      </c>
      <c r="J52" s="49">
        <f>ROUND(Source!AF29*Source!I29,2)</f>
        <v>671.53</v>
      </c>
      <c r="K52" s="58">
        <f>IF(Source!BA29&lt;&gt;0,Source!BA29,1)</f>
        <v>37.34</v>
      </c>
      <c r="L52" s="49">
        <f>Source!S29</f>
        <v>25074.8</v>
      </c>
    </row>
    <row r="53" spans="1:12" ht="14.25">
      <c r="A53" s="74"/>
      <c r="B53" s="75">
        <v>3</v>
      </c>
      <c r="C53" s="74" t="s">
        <v>430</v>
      </c>
      <c r="D53" s="56"/>
      <c r="E53" s="57"/>
      <c r="F53" s="57"/>
      <c r="G53" s="57"/>
      <c r="H53" s="49">
        <f>Source!AM29</f>
        <v>575.19</v>
      </c>
      <c r="I53" s="58">
        <f>ROUND(0.7,7)</f>
        <v>0.7</v>
      </c>
      <c r="J53" s="49">
        <f>ROUND(((((Source!ET29*ROUND(0.7,7)))-((Source!EU29*ROUND(0.7,7))))+Source!AE29)*Source!I29,2)</f>
        <v>128.84</v>
      </c>
      <c r="K53" s="58">
        <f>IF(Source!BB29&lt;&gt;0,Source!BB29,1)</f>
        <v>13.24</v>
      </c>
      <c r="L53" s="49">
        <f>Source!Q29</f>
        <v>1705.94</v>
      </c>
    </row>
    <row r="54" spans="1:12" ht="14.25">
      <c r="A54" s="74"/>
      <c r="B54" s="75">
        <v>2</v>
      </c>
      <c r="C54" s="74" t="s">
        <v>431</v>
      </c>
      <c r="D54" s="56"/>
      <c r="E54" s="57"/>
      <c r="F54" s="57"/>
      <c r="G54" s="57"/>
      <c r="H54" s="49">
        <f>Source!AN29</f>
        <v>32.95</v>
      </c>
      <c r="I54" s="58">
        <f>ROUND(0.7,7)</f>
        <v>0.7</v>
      </c>
      <c r="J54" s="59">
        <f>ROUND(Source!AE29*Source!I29,2)</f>
        <v>7.38</v>
      </c>
      <c r="K54" s="58">
        <f>IF(Source!BS29&lt;&gt;0,Source!BS29,1)</f>
        <v>37.34</v>
      </c>
      <c r="L54" s="59">
        <f>Source!R29</f>
        <v>275.66</v>
      </c>
    </row>
    <row r="55" spans="1:12" ht="14.25">
      <c r="A55" s="74"/>
      <c r="B55" s="74"/>
      <c r="C55" s="74" t="s">
        <v>432</v>
      </c>
      <c r="D55" s="56" t="s">
        <v>433</v>
      </c>
      <c r="E55" s="57">
        <f>Source!AQ29</f>
        <v>298</v>
      </c>
      <c r="F55" s="57">
        <f>ROUND(0.7,7)</f>
        <v>0.7</v>
      </c>
      <c r="G55" s="112">
        <f>ROUND(Source!U29,7)</f>
        <v>66.752</v>
      </c>
      <c r="H55" s="49"/>
      <c r="I55" s="58"/>
      <c r="J55" s="49"/>
      <c r="K55" s="58"/>
      <c r="L55" s="49"/>
    </row>
    <row r="56" spans="1:12" ht="14.25">
      <c r="A56" s="74"/>
      <c r="B56" s="74"/>
      <c r="C56" s="76" t="s">
        <v>434</v>
      </c>
      <c r="D56" s="60" t="s">
        <v>433</v>
      </c>
      <c r="E56" s="61">
        <f>Source!AR29</f>
        <v>2.48</v>
      </c>
      <c r="F56" s="61">
        <f>ROUND(0.7,7)</f>
        <v>0.7</v>
      </c>
      <c r="G56" s="113">
        <f>ROUND(Source!V29,7)</f>
        <v>0.55552</v>
      </c>
      <c r="H56" s="62"/>
      <c r="I56" s="63"/>
      <c r="J56" s="62"/>
      <c r="K56" s="63"/>
      <c r="L56" s="62"/>
    </row>
    <row r="57" spans="1:12" ht="14.25">
      <c r="A57" s="74"/>
      <c r="B57" s="74"/>
      <c r="C57" s="74" t="s">
        <v>435</v>
      </c>
      <c r="D57" s="56"/>
      <c r="E57" s="57"/>
      <c r="F57" s="57"/>
      <c r="G57" s="57"/>
      <c r="H57" s="49">
        <f>H52+H53</f>
        <v>3573.07</v>
      </c>
      <c r="I57" s="58"/>
      <c r="J57" s="49">
        <f>J52+J53</f>
        <v>800.37</v>
      </c>
      <c r="K57" s="58"/>
      <c r="L57" s="49">
        <f>L52+L53</f>
        <v>26780.739999999998</v>
      </c>
    </row>
    <row r="58" spans="1:12" ht="14.25">
      <c r="A58" s="74"/>
      <c r="B58" s="74"/>
      <c r="C58" s="74" t="s">
        <v>436</v>
      </c>
      <c r="D58" s="56"/>
      <c r="E58" s="57"/>
      <c r="F58" s="57"/>
      <c r="G58" s="57"/>
      <c r="H58" s="49"/>
      <c r="I58" s="58"/>
      <c r="J58" s="49">
        <f>SUM(Q49:Q61)+SUM(V49:V61)+SUM(X49:X61)+SUM(Y49:Y61)</f>
        <v>678.91</v>
      </c>
      <c r="K58" s="58"/>
      <c r="L58" s="49">
        <f>SUM(U49:U61)+SUM(W49:W61)+SUM(Z49:Z61)+SUM(AA49:AA61)</f>
        <v>25350.46</v>
      </c>
    </row>
    <row r="59" spans="1:12" ht="28.5">
      <c r="A59" s="74"/>
      <c r="B59" s="74" t="s">
        <v>35</v>
      </c>
      <c r="C59" s="74" t="s">
        <v>437</v>
      </c>
      <c r="D59" s="56" t="s">
        <v>438</v>
      </c>
      <c r="E59" s="57">
        <f>Source!BZ29</f>
        <v>93</v>
      </c>
      <c r="F59" s="57"/>
      <c r="G59" s="57">
        <f>Source!AT29</f>
        <v>93</v>
      </c>
      <c r="H59" s="49"/>
      <c r="I59" s="58"/>
      <c r="J59" s="49">
        <f>SUM(AG49:AG61)</f>
        <v>631.39</v>
      </c>
      <c r="K59" s="58"/>
      <c r="L59" s="49">
        <f>SUM(AH49:AH61)</f>
        <v>23575.93</v>
      </c>
    </row>
    <row r="60" spans="1:12" ht="28.5">
      <c r="A60" s="76"/>
      <c r="B60" s="76" t="s">
        <v>36</v>
      </c>
      <c r="C60" s="76" t="s">
        <v>439</v>
      </c>
      <c r="D60" s="60" t="s">
        <v>438</v>
      </c>
      <c r="E60" s="61">
        <f>Source!CA29</f>
        <v>62</v>
      </c>
      <c r="F60" s="61"/>
      <c r="G60" s="61">
        <f>Source!AU29</f>
        <v>62</v>
      </c>
      <c r="H60" s="62"/>
      <c r="I60" s="63"/>
      <c r="J60" s="62">
        <f>SUM(AI49:AI61)</f>
        <v>420.92</v>
      </c>
      <c r="K60" s="63"/>
      <c r="L60" s="62">
        <f>SUM(AJ49:AJ61)</f>
        <v>15717.29</v>
      </c>
    </row>
    <row r="61" spans="3:53" ht="15">
      <c r="C61" s="117" t="s">
        <v>440</v>
      </c>
      <c r="D61" s="117"/>
      <c r="E61" s="117"/>
      <c r="F61" s="117"/>
      <c r="G61" s="117"/>
      <c r="H61" s="117"/>
      <c r="I61" s="117">
        <f>J52+J53+J59+J60</f>
        <v>1852.68</v>
      </c>
      <c r="J61" s="117"/>
      <c r="K61" s="117">
        <f>L52+L53+L59+L60</f>
        <v>66073.95999999999</v>
      </c>
      <c r="L61" s="117"/>
      <c r="O61" s="48">
        <f>I61</f>
        <v>1852.68</v>
      </c>
      <c r="P61" s="48">
        <f>K61</f>
        <v>66073.95999999999</v>
      </c>
      <c r="Q61" s="48">
        <f>J52</f>
        <v>671.53</v>
      </c>
      <c r="R61" s="48">
        <f>J52</f>
        <v>671.53</v>
      </c>
      <c r="U61" s="48">
        <f>L52</f>
        <v>25074.8</v>
      </c>
      <c r="X61" s="48">
        <f>J54</f>
        <v>7.38</v>
      </c>
      <c r="Z61" s="48">
        <f>L54</f>
        <v>275.66</v>
      </c>
      <c r="AB61" s="48">
        <f>J53</f>
        <v>128.84</v>
      </c>
      <c r="AD61" s="48">
        <f>L53</f>
        <v>1705.94</v>
      </c>
      <c r="AF61">
        <f>0</f>
        <v>0</v>
      </c>
      <c r="AN61">
        <f>IF(Source!BI29&lt;=1,J52+J53+J59+J60,0)</f>
        <v>1852.68</v>
      </c>
      <c r="AO61">
        <f>IF(Source!BI29&lt;=1,0,0)</f>
        <v>0</v>
      </c>
      <c r="AP61">
        <f>IF(Source!BI29&lt;=1,J53,0)</f>
        <v>128.84</v>
      </c>
      <c r="AQ61">
        <f>IF(Source!BI29&lt;=1,J52,0)</f>
        <v>671.53</v>
      </c>
      <c r="AX61">
        <f>IF(Source!BI29=2,J52+J53+J59+J60,0)</f>
        <v>0</v>
      </c>
      <c r="AY61">
        <f>IF(Source!BI29=2,0,0)</f>
        <v>0</v>
      </c>
      <c r="AZ61">
        <f>IF(Source!BI29=2,J53,0)</f>
        <v>0</v>
      </c>
      <c r="BA61">
        <f>IF(Source!BI29=2,J52,0)</f>
        <v>0</v>
      </c>
    </row>
    <row r="62" spans="1:56" ht="117.75">
      <c r="A62" s="74">
        <v>2</v>
      </c>
      <c r="B62" s="74" t="s">
        <v>441</v>
      </c>
      <c r="C62" s="74" t="s">
        <v>442</v>
      </c>
      <c r="D62" s="56" t="str">
        <f>Source!DW31</f>
        <v>т</v>
      </c>
      <c r="E62" s="57">
        <f>Source!K31</f>
        <v>0.01</v>
      </c>
      <c r="F62" s="57"/>
      <c r="G62" s="57">
        <f>Source!I31</f>
        <v>0.01</v>
      </c>
      <c r="H62" s="49"/>
      <c r="I62" s="58"/>
      <c r="J62" s="49"/>
      <c r="K62" s="58"/>
      <c r="L62" s="49"/>
      <c r="AG62">
        <f>ROUND((Source!AT31/100)*((ROUND(Source!AF31*Source!I31,2)+ROUND(Source!AE31*Source!I31,2))),2)</f>
        <v>18.33</v>
      </c>
      <c r="AH62">
        <f>Source!X31</f>
        <v>684.6</v>
      </c>
      <c r="AI62">
        <f>ROUND((Source!AU31/100)*((ROUND(Source!AF31*Source!I31,2)+ROUND(Source!AE31*Source!I31,2))),2)</f>
        <v>10.42</v>
      </c>
      <c r="AJ62">
        <f>Source!Y31</f>
        <v>389.28</v>
      </c>
      <c r="AS62">
        <f>IF(Source!BI31&lt;=1,AH62,0)</f>
        <v>684.6</v>
      </c>
      <c r="AT62">
        <f>IF(Source!BI31&lt;=1,AJ62,0)</f>
        <v>389.28</v>
      </c>
      <c r="BC62">
        <f>IF(Source!BI31=2,AH62,0)</f>
        <v>0</v>
      </c>
      <c r="BD62">
        <f>IF(Source!BI31=2,AJ62,0)</f>
        <v>0</v>
      </c>
    </row>
    <row r="63" ht="25.5">
      <c r="B63" s="45" t="str">
        <f>Source!EO31</f>
        <v>Поправка: МР 571/пр Табл.2, п.4</v>
      </c>
    </row>
    <row r="64" spans="1:12" ht="14.25">
      <c r="A64" s="74"/>
      <c r="B64" s="75">
        <v>1</v>
      </c>
      <c r="C64" s="74" t="s">
        <v>429</v>
      </c>
      <c r="D64" s="56"/>
      <c r="E64" s="57"/>
      <c r="F64" s="57"/>
      <c r="G64" s="57"/>
      <c r="H64" s="49">
        <f>Source!AO31</f>
        <v>2560.54</v>
      </c>
      <c r="I64" s="58">
        <f>ROUND(0.7,7)</f>
        <v>0.7</v>
      </c>
      <c r="J64" s="49">
        <f>ROUND(Source!AF31*Source!I31,2)</f>
        <v>17.92</v>
      </c>
      <c r="K64" s="58">
        <f>IF(Source!BA31&lt;&gt;0,Source!BA31,1)</f>
        <v>37.34</v>
      </c>
      <c r="L64" s="49">
        <f>Source!S31</f>
        <v>669.27</v>
      </c>
    </row>
    <row r="65" spans="1:12" ht="14.25">
      <c r="A65" s="74"/>
      <c r="B65" s="75">
        <v>3</v>
      </c>
      <c r="C65" s="74" t="s">
        <v>430</v>
      </c>
      <c r="D65" s="56"/>
      <c r="E65" s="57"/>
      <c r="F65" s="57"/>
      <c r="G65" s="57"/>
      <c r="H65" s="49">
        <f>Source!AM31</f>
        <v>51.19</v>
      </c>
      <c r="I65" s="58">
        <f>ROUND(0.7,7)</f>
        <v>0.7</v>
      </c>
      <c r="J65" s="49">
        <f>ROUND(((((Source!ET31*ROUND(0.7,7)))-((Source!EU31*ROUND(0.7,7))))+Source!AE31)*Source!I31,2)</f>
        <v>0.36</v>
      </c>
      <c r="K65" s="58">
        <f>IF(Source!BB31&lt;&gt;0,Source!BB31,1)</f>
        <v>13.24</v>
      </c>
      <c r="L65" s="49">
        <f>Source!Q31</f>
        <v>4.74</v>
      </c>
    </row>
    <row r="66" spans="1:12" ht="14.25">
      <c r="A66" s="74"/>
      <c r="B66" s="75">
        <v>2</v>
      </c>
      <c r="C66" s="74" t="s">
        <v>431</v>
      </c>
      <c r="D66" s="56"/>
      <c r="E66" s="57"/>
      <c r="F66" s="57"/>
      <c r="G66" s="57"/>
      <c r="H66" s="49">
        <f>Source!AN31</f>
        <v>7.32</v>
      </c>
      <c r="I66" s="58">
        <f>ROUND(0.7,7)</f>
        <v>0.7</v>
      </c>
      <c r="J66" s="59">
        <f>ROUND(Source!AE31*Source!I31,2)</f>
        <v>0.05</v>
      </c>
      <c r="K66" s="58">
        <f>IF(Source!BS31&lt;&gt;0,Source!BS31,1)</f>
        <v>37.34</v>
      </c>
      <c r="L66" s="59">
        <f>Source!R31</f>
        <v>1.91</v>
      </c>
    </row>
    <row r="67" spans="1:12" ht="14.25">
      <c r="A67" s="74"/>
      <c r="B67" s="74"/>
      <c r="C67" s="74" t="s">
        <v>432</v>
      </c>
      <c r="D67" s="56" t="s">
        <v>433</v>
      </c>
      <c r="E67" s="57">
        <f>Source!AQ31</f>
        <v>289</v>
      </c>
      <c r="F67" s="57">
        <f>ROUND(0.7,7)</f>
        <v>0.7</v>
      </c>
      <c r="G67" s="112">
        <f>ROUND(Source!U31,7)</f>
        <v>2.023</v>
      </c>
      <c r="H67" s="49"/>
      <c r="I67" s="58"/>
      <c r="J67" s="49"/>
      <c r="K67" s="58"/>
      <c r="L67" s="49"/>
    </row>
    <row r="68" spans="1:12" ht="14.25">
      <c r="A68" s="74"/>
      <c r="B68" s="74"/>
      <c r="C68" s="76" t="s">
        <v>434</v>
      </c>
      <c r="D68" s="60" t="s">
        <v>433</v>
      </c>
      <c r="E68" s="61">
        <f>Source!AR31</f>
        <v>0.59</v>
      </c>
      <c r="F68" s="61">
        <f>ROUND(0.7,7)</f>
        <v>0.7</v>
      </c>
      <c r="G68" s="114">
        <f>ROUND(Source!V31,7)</f>
        <v>0.00413</v>
      </c>
      <c r="H68" s="62"/>
      <c r="I68" s="63"/>
      <c r="J68" s="62"/>
      <c r="K68" s="63"/>
      <c r="L68" s="62"/>
    </row>
    <row r="69" spans="1:12" ht="14.25">
      <c r="A69" s="74"/>
      <c r="B69" s="74"/>
      <c r="C69" s="74" t="s">
        <v>435</v>
      </c>
      <c r="D69" s="56"/>
      <c r="E69" s="57"/>
      <c r="F69" s="57"/>
      <c r="G69" s="57"/>
      <c r="H69" s="49">
        <f>H64+H65</f>
        <v>2611.73</v>
      </c>
      <c r="I69" s="58"/>
      <c r="J69" s="49">
        <f>J64+J65</f>
        <v>18.28</v>
      </c>
      <c r="K69" s="58"/>
      <c r="L69" s="49">
        <f>L64+L65</f>
        <v>674.01</v>
      </c>
    </row>
    <row r="70" spans="1:12" ht="14.25">
      <c r="A70" s="74"/>
      <c r="B70" s="74"/>
      <c r="C70" s="74" t="s">
        <v>436</v>
      </c>
      <c r="D70" s="56"/>
      <c r="E70" s="57"/>
      <c r="F70" s="57"/>
      <c r="G70" s="57"/>
      <c r="H70" s="49"/>
      <c r="I70" s="58"/>
      <c r="J70" s="49">
        <f>SUM(Q62:Q73)+SUM(V62:V73)+SUM(X62:X73)+SUM(Y62:Y73)</f>
        <v>17.970000000000002</v>
      </c>
      <c r="K70" s="58"/>
      <c r="L70" s="49">
        <f>SUM(U62:U73)+SUM(W62:W73)+SUM(Z62:Z73)+SUM(AA62:AA73)</f>
        <v>671.18</v>
      </c>
    </row>
    <row r="71" spans="1:12" ht="42.75">
      <c r="A71" s="74"/>
      <c r="B71" s="74" t="s">
        <v>45</v>
      </c>
      <c r="C71" s="74" t="s">
        <v>443</v>
      </c>
      <c r="D71" s="56" t="s">
        <v>438</v>
      </c>
      <c r="E71" s="57">
        <f>Source!BZ31</f>
        <v>102</v>
      </c>
      <c r="F71" s="57"/>
      <c r="G71" s="57">
        <f>Source!AT31</f>
        <v>102</v>
      </c>
      <c r="H71" s="49"/>
      <c r="I71" s="58"/>
      <c r="J71" s="49">
        <f>SUM(AG62:AG73)</f>
        <v>18.33</v>
      </c>
      <c r="K71" s="58"/>
      <c r="L71" s="49">
        <f>SUM(AH62:AH73)</f>
        <v>684.6</v>
      </c>
    </row>
    <row r="72" spans="1:12" ht="42.75">
      <c r="A72" s="76"/>
      <c r="B72" s="76" t="s">
        <v>46</v>
      </c>
      <c r="C72" s="76" t="s">
        <v>444</v>
      </c>
      <c r="D72" s="60" t="s">
        <v>438</v>
      </c>
      <c r="E72" s="61">
        <f>Source!CA31</f>
        <v>58</v>
      </c>
      <c r="F72" s="61"/>
      <c r="G72" s="61">
        <f>Source!AU31</f>
        <v>58</v>
      </c>
      <c r="H72" s="62"/>
      <c r="I72" s="63"/>
      <c r="J72" s="62">
        <f>SUM(AI62:AI73)</f>
        <v>10.42</v>
      </c>
      <c r="K72" s="63"/>
      <c r="L72" s="62">
        <f>SUM(AJ62:AJ73)</f>
        <v>389.28</v>
      </c>
    </row>
    <row r="73" spans="3:53" ht="15">
      <c r="C73" s="117" t="s">
        <v>440</v>
      </c>
      <c r="D73" s="117"/>
      <c r="E73" s="117"/>
      <c r="F73" s="117"/>
      <c r="G73" s="117"/>
      <c r="H73" s="117"/>
      <c r="I73" s="117">
        <f>J64+J65+J71+J72</f>
        <v>47.03</v>
      </c>
      <c r="J73" s="117"/>
      <c r="K73" s="117">
        <f>L64+L65+L71+L72</f>
        <v>1747.89</v>
      </c>
      <c r="L73" s="117"/>
      <c r="O73" s="48">
        <f>I73</f>
        <v>47.03</v>
      </c>
      <c r="P73" s="48">
        <f>K73</f>
        <v>1747.89</v>
      </c>
      <c r="Q73" s="48">
        <f>J64</f>
        <v>17.92</v>
      </c>
      <c r="R73" s="48">
        <f>J64</f>
        <v>17.92</v>
      </c>
      <c r="U73" s="48">
        <f>L64</f>
        <v>669.27</v>
      </c>
      <c r="X73" s="48">
        <f>J66</f>
        <v>0.05</v>
      </c>
      <c r="Z73" s="48">
        <f>L66</f>
        <v>1.91</v>
      </c>
      <c r="AB73" s="48">
        <f>J65</f>
        <v>0.36</v>
      </c>
      <c r="AD73" s="48">
        <f>L65</f>
        <v>4.74</v>
      </c>
      <c r="AF73">
        <f>0</f>
        <v>0</v>
      </c>
      <c r="AN73">
        <f>IF(Source!BI31&lt;=1,J64+J65+J71+J72,0)</f>
        <v>47.03</v>
      </c>
      <c r="AO73">
        <f>IF(Source!BI31&lt;=1,0,0)</f>
        <v>0</v>
      </c>
      <c r="AP73">
        <f>IF(Source!BI31&lt;=1,J65,0)</f>
        <v>0.36</v>
      </c>
      <c r="AQ73">
        <f>IF(Source!BI31&lt;=1,J64,0)</f>
        <v>17.92</v>
      </c>
      <c r="AX73">
        <f>IF(Source!BI31=2,J64+J65+J71+J72,0)</f>
        <v>0</v>
      </c>
      <c r="AY73">
        <f>IF(Source!BI31=2,0,0)</f>
        <v>0</v>
      </c>
      <c r="AZ73">
        <f>IF(Source!BI31=2,J65,0)</f>
        <v>0</v>
      </c>
      <c r="BA73">
        <f>IF(Source!BI31=2,J64,0)</f>
        <v>0</v>
      </c>
    </row>
    <row r="74" spans="1:56" ht="57">
      <c r="A74" s="74">
        <v>3</v>
      </c>
      <c r="B74" s="74" t="s">
        <v>445</v>
      </c>
      <c r="C74" s="74" t="str">
        <f>Source!G37</f>
        <v>Сверление в железобетонных конструкциях вертикальных отверстий глубиной 200 мм диаметром: 20 мм (Применительно)</v>
      </c>
      <c r="D74" s="56" t="str">
        <f>Source!DW37</f>
        <v>100 отверстий</v>
      </c>
      <c r="E74" s="57">
        <f>Source!K37</f>
        <v>0.16</v>
      </c>
      <c r="F74" s="57"/>
      <c r="G74" s="57">
        <f>Source!I37</f>
        <v>0.16</v>
      </c>
      <c r="H74" s="49"/>
      <c r="I74" s="58"/>
      <c r="J74" s="49"/>
      <c r="K74" s="58"/>
      <c r="L74" s="49"/>
      <c r="AG74">
        <f>ROUND((Source!AT37/100)*((ROUND(Source!AF37*Source!I37,2)+ROUND(Source!AE37*Source!I37,2))),2)</f>
        <v>62.22</v>
      </c>
      <c r="AH74">
        <f>Source!X37</f>
        <v>2323.31</v>
      </c>
      <c r="AI74">
        <f>ROUND((Source!AU37/100)*((ROUND(Source!AF37*Source!I37,2)+ROUND(Source!AE37*Source!I37,2))),2)</f>
        <v>35.64</v>
      </c>
      <c r="AJ74">
        <f>Source!Y37</f>
        <v>1330.83</v>
      </c>
      <c r="AS74">
        <f>IF(Source!BI37&lt;=1,AH74,0)</f>
        <v>2323.31</v>
      </c>
      <c r="AT74">
        <f>IF(Source!BI37&lt;=1,AJ74,0)</f>
        <v>1330.83</v>
      </c>
      <c r="BC74">
        <f>IF(Source!BI37=2,AH74,0)</f>
        <v>0</v>
      </c>
      <c r="BD74">
        <f>IF(Source!BI37=2,AJ74,0)</f>
        <v>0</v>
      </c>
    </row>
    <row r="76" ht="12.75">
      <c r="C76" s="46" t="str">
        <f>"Объем: "&amp;Source!K37&amp;"=16/"&amp;"100"</f>
        <v>Объем: 0,16=16/100</v>
      </c>
    </row>
    <row r="77" spans="1:12" ht="14.25">
      <c r="A77" s="74"/>
      <c r="B77" s="75">
        <v>1</v>
      </c>
      <c r="C77" s="74" t="s">
        <v>429</v>
      </c>
      <c r="D77" s="56"/>
      <c r="E77" s="57"/>
      <c r="F77" s="57"/>
      <c r="G77" s="57"/>
      <c r="H77" s="49">
        <f>Source!AO37</f>
        <v>166.43</v>
      </c>
      <c r="I77" s="58"/>
      <c r="J77" s="49">
        <f>ROUND(Source!AF37*Source!I37,2)</f>
        <v>26.63</v>
      </c>
      <c r="K77" s="58">
        <f>IF(Source!BA37&lt;&gt;0,Source!BA37,1)</f>
        <v>37.34</v>
      </c>
      <c r="L77" s="49">
        <f>Source!S37</f>
        <v>994.32</v>
      </c>
    </row>
    <row r="78" spans="1:12" ht="14.25">
      <c r="A78" s="74"/>
      <c r="B78" s="75">
        <v>3</v>
      </c>
      <c r="C78" s="74" t="s">
        <v>430</v>
      </c>
      <c r="D78" s="56"/>
      <c r="E78" s="57"/>
      <c r="F78" s="57"/>
      <c r="G78" s="57"/>
      <c r="H78" s="49">
        <f>Source!AM37</f>
        <v>567.97</v>
      </c>
      <c r="I78" s="58"/>
      <c r="J78" s="49">
        <f>ROUND((((Source!ET37)-(Source!EU37))+Source!AE37)*Source!I37,2)</f>
        <v>90.88</v>
      </c>
      <c r="K78" s="58">
        <f>IF(Source!BB37&lt;&gt;0,Source!BB37,1)</f>
        <v>13.24</v>
      </c>
      <c r="L78" s="49">
        <f>Source!Q37</f>
        <v>1203.19</v>
      </c>
    </row>
    <row r="79" spans="1:12" ht="14.25">
      <c r="A79" s="74"/>
      <c r="B79" s="75">
        <v>2</v>
      </c>
      <c r="C79" s="74" t="s">
        <v>431</v>
      </c>
      <c r="D79" s="56"/>
      <c r="E79" s="57"/>
      <c r="F79" s="57"/>
      <c r="G79" s="57"/>
      <c r="H79" s="49">
        <f>Source!AN37</f>
        <v>211.12</v>
      </c>
      <c r="I79" s="58"/>
      <c r="J79" s="59">
        <f>ROUND(Source!AE37*Source!I37,2)</f>
        <v>33.78</v>
      </c>
      <c r="K79" s="58">
        <f>IF(Source!BS37&lt;&gt;0,Source!BS37,1)</f>
        <v>37.34</v>
      </c>
      <c r="L79" s="59">
        <f>Source!R37</f>
        <v>1261.32</v>
      </c>
    </row>
    <row r="80" spans="1:12" ht="14.25">
      <c r="A80" s="74"/>
      <c r="B80" s="75">
        <v>4</v>
      </c>
      <c r="C80" s="74" t="s">
        <v>446</v>
      </c>
      <c r="D80" s="56"/>
      <c r="E80" s="57"/>
      <c r="F80" s="57"/>
      <c r="G80" s="57"/>
      <c r="H80" s="49">
        <f>Source!AL37</f>
        <v>1.08</v>
      </c>
      <c r="I80" s="58"/>
      <c r="J80" s="49">
        <f>ROUND(Source!AC37*Source!I37,2)</f>
        <v>0.17</v>
      </c>
      <c r="K80" s="58">
        <f>IF(Source!BC37&lt;&gt;0,Source!BC37,1)</f>
        <v>6.72</v>
      </c>
      <c r="L80" s="49">
        <f>Source!P37</f>
        <v>1.16</v>
      </c>
    </row>
    <row r="81" spans="1:12" ht="14.25">
      <c r="A81" s="74"/>
      <c r="B81" s="74"/>
      <c r="C81" s="74" t="s">
        <v>432</v>
      </c>
      <c r="D81" s="56" t="s">
        <v>433</v>
      </c>
      <c r="E81" s="57">
        <f>Source!AQ37</f>
        <v>17.3</v>
      </c>
      <c r="F81" s="57"/>
      <c r="G81" s="112">
        <f>ROUND(Source!U37,7)</f>
        <v>2.768</v>
      </c>
      <c r="H81" s="49"/>
      <c r="I81" s="58"/>
      <c r="J81" s="49"/>
      <c r="K81" s="58"/>
      <c r="L81" s="49"/>
    </row>
    <row r="82" spans="1:12" ht="14.25">
      <c r="A82" s="74"/>
      <c r="B82" s="74"/>
      <c r="C82" s="76" t="s">
        <v>434</v>
      </c>
      <c r="D82" s="60" t="s">
        <v>433</v>
      </c>
      <c r="E82" s="61">
        <f>Source!AR37</f>
        <v>18.2</v>
      </c>
      <c r="F82" s="61"/>
      <c r="G82" s="113">
        <f>ROUND(Source!V37,7)</f>
        <v>2.912</v>
      </c>
      <c r="H82" s="62"/>
      <c r="I82" s="63"/>
      <c r="J82" s="62"/>
      <c r="K82" s="63"/>
      <c r="L82" s="62"/>
    </row>
    <row r="83" spans="1:12" ht="14.25">
      <c r="A83" s="74"/>
      <c r="B83" s="74"/>
      <c r="C83" s="74" t="s">
        <v>435</v>
      </c>
      <c r="D83" s="56"/>
      <c r="E83" s="57"/>
      <c r="F83" s="57"/>
      <c r="G83" s="57"/>
      <c r="H83" s="49">
        <f>H77+H78+H80</f>
        <v>735.4800000000001</v>
      </c>
      <c r="I83" s="58"/>
      <c r="J83" s="49">
        <f>J77+J78+J80</f>
        <v>117.67999999999999</v>
      </c>
      <c r="K83" s="58"/>
      <c r="L83" s="49">
        <f>L77+L78+L80</f>
        <v>2198.67</v>
      </c>
    </row>
    <row r="84" spans="1:56" ht="28.5">
      <c r="A84" s="74" t="s">
        <v>66</v>
      </c>
      <c r="B84" s="74" t="s">
        <v>447</v>
      </c>
      <c r="C84" s="74" t="str">
        <f>Source!G39</f>
        <v>Бур с ограничителем TE-C-HDA-B 22х155 для анкеров HDA</v>
      </c>
      <c r="D84" s="56" t="str">
        <f>Source!DW39</f>
        <v>ШТ</v>
      </c>
      <c r="E84" s="57">
        <f>SmtRes!AT42</f>
        <v>9.375</v>
      </c>
      <c r="F84" s="57"/>
      <c r="G84" s="57">
        <f>Source!I39</f>
        <v>1.5</v>
      </c>
      <c r="H84" s="49">
        <f>Source!AL39+Source!AO39+Source!AM39</f>
        <v>839.32</v>
      </c>
      <c r="I84" s="58"/>
      <c r="J84" s="49">
        <f>ROUND(Source!AC39*Source!I39,2)+ROUND((((Source!ET39)-(Source!EU39))+Source!AE39)*Source!I39,2)+ROUND(Source!AF39*Source!I39,2)</f>
        <v>1258.98</v>
      </c>
      <c r="K84" s="58">
        <f>IF(Source!BC39&lt;&gt;0,Source!BC39,1)</f>
        <v>6.72</v>
      </c>
      <c r="L84" s="49">
        <f>Source!O39</f>
        <v>8460.35</v>
      </c>
      <c r="AF84" s="48">
        <f>J84</f>
        <v>1258.98</v>
      </c>
      <c r="AG84">
        <f>ROUND((Source!AT39/100)*((ROUND(Source!AF39*Source!I39,2)+ROUND(Source!AE39*Source!I39,2))),2)</f>
        <v>0</v>
      </c>
      <c r="AH84">
        <f>Source!X39</f>
        <v>0</v>
      </c>
      <c r="AI84">
        <f>ROUND((Source!AU39/100)*((ROUND(Source!AF39*Source!I39,2)+ROUND(Source!AE39*Source!I39,2))),2)</f>
        <v>0</v>
      </c>
      <c r="AJ84">
        <f>Source!Y39</f>
        <v>0</v>
      </c>
      <c r="AN84">
        <f>IF(Source!BI39&lt;=1,J84,0)</f>
        <v>1258.98</v>
      </c>
      <c r="AO84">
        <f>IF(Source!BI39&lt;=1,J84,0)</f>
        <v>1258.98</v>
      </c>
      <c r="AS84">
        <f>IF(Source!BI39&lt;=1,AH84,0)</f>
        <v>0</v>
      </c>
      <c r="AT84">
        <f>IF(Source!BI39&lt;=1,AJ84,0)</f>
        <v>0</v>
      </c>
      <c r="AX84">
        <f>IF(Source!BI39=2,J84,0)</f>
        <v>0</v>
      </c>
      <c r="AY84">
        <f>IF(Source!BI39=2,J84,0)</f>
        <v>0</v>
      </c>
      <c r="BC84">
        <f>IF(Source!BI39=2,AH84,0)</f>
        <v>0</v>
      </c>
      <c r="BD84">
        <f>IF(Source!BI39=2,AJ84,0)</f>
        <v>0</v>
      </c>
    </row>
    <row r="85" spans="1:12" ht="14.25">
      <c r="A85" s="74"/>
      <c r="B85" s="74"/>
      <c r="C85" s="74" t="s">
        <v>436</v>
      </c>
      <c r="D85" s="56"/>
      <c r="E85" s="57"/>
      <c r="F85" s="57"/>
      <c r="G85" s="57"/>
      <c r="H85" s="49"/>
      <c r="I85" s="58"/>
      <c r="J85" s="49">
        <f>SUM(Q74:Q88)+SUM(V74:V88)+SUM(X74:X88)+SUM(Y74:Y88)</f>
        <v>60.41</v>
      </c>
      <c r="K85" s="58"/>
      <c r="L85" s="49">
        <f>SUM(U74:U88)+SUM(W74:W88)+SUM(Z74:Z88)+SUM(AA74:AA88)</f>
        <v>2255.64</v>
      </c>
    </row>
    <row r="86" spans="1:12" ht="71.25">
      <c r="A86" s="74"/>
      <c r="B86" s="74" t="s">
        <v>64</v>
      </c>
      <c r="C86" s="74" t="s">
        <v>448</v>
      </c>
      <c r="D86" s="56" t="s">
        <v>438</v>
      </c>
      <c r="E86" s="57">
        <f>Source!BZ37</f>
        <v>103</v>
      </c>
      <c r="F86" s="57"/>
      <c r="G86" s="57">
        <f>Source!AT37</f>
        <v>103</v>
      </c>
      <c r="H86" s="49"/>
      <c r="I86" s="58"/>
      <c r="J86" s="49">
        <f>SUM(AG74:AG88)</f>
        <v>62.22</v>
      </c>
      <c r="K86" s="58"/>
      <c r="L86" s="49">
        <f>SUM(AH74:AH88)</f>
        <v>2323.31</v>
      </c>
    </row>
    <row r="87" spans="1:12" ht="71.25">
      <c r="A87" s="76"/>
      <c r="B87" s="76" t="s">
        <v>65</v>
      </c>
      <c r="C87" s="76" t="s">
        <v>449</v>
      </c>
      <c r="D87" s="60" t="s">
        <v>438</v>
      </c>
      <c r="E87" s="61">
        <f>Source!CA37</f>
        <v>59</v>
      </c>
      <c r="F87" s="61"/>
      <c r="G87" s="61">
        <f>Source!AU37</f>
        <v>59</v>
      </c>
      <c r="H87" s="62"/>
      <c r="I87" s="63"/>
      <c r="J87" s="62">
        <f>SUM(AI74:AI88)</f>
        <v>35.64</v>
      </c>
      <c r="K87" s="63"/>
      <c r="L87" s="62">
        <f>SUM(AJ74:AJ88)</f>
        <v>1330.83</v>
      </c>
    </row>
    <row r="88" spans="3:53" ht="15">
      <c r="C88" s="117" t="s">
        <v>440</v>
      </c>
      <c r="D88" s="117"/>
      <c r="E88" s="117"/>
      <c r="F88" s="117"/>
      <c r="G88" s="117"/>
      <c r="H88" s="117"/>
      <c r="I88" s="117">
        <f>J77+J78+J80+J86+J87+SUM(J84:J84)</f>
        <v>1474.52</v>
      </c>
      <c r="J88" s="117"/>
      <c r="K88" s="117">
        <f>L77+L78+L80+L86+L87+SUM(L84:L84)</f>
        <v>14313.16</v>
      </c>
      <c r="L88" s="117"/>
      <c r="O88" s="48">
        <f>I88</f>
        <v>1474.52</v>
      </c>
      <c r="P88" s="48">
        <f>K88</f>
        <v>14313.16</v>
      </c>
      <c r="Q88" s="48">
        <f>J77</f>
        <v>26.63</v>
      </c>
      <c r="R88" s="48">
        <f>J77</f>
        <v>26.63</v>
      </c>
      <c r="U88" s="48">
        <f>L77</f>
        <v>994.32</v>
      </c>
      <c r="X88" s="48">
        <f>J79</f>
        <v>33.78</v>
      </c>
      <c r="Z88" s="48">
        <f>L79</f>
        <v>1261.32</v>
      </c>
      <c r="AB88" s="48">
        <f>J78</f>
        <v>90.88</v>
      </c>
      <c r="AD88" s="48">
        <f>L78</f>
        <v>1203.19</v>
      </c>
      <c r="AF88" s="48">
        <f>J80</f>
        <v>0.17</v>
      </c>
      <c r="AN88">
        <f>IF(Source!BI37&lt;=1,J77+J78+J80+J86+J87,0)</f>
        <v>215.53999999999996</v>
      </c>
      <c r="AO88">
        <f>IF(Source!BI37&lt;=1,J80,0)</f>
        <v>0.17</v>
      </c>
      <c r="AP88">
        <f>IF(Source!BI37&lt;=1,J78,0)</f>
        <v>90.88</v>
      </c>
      <c r="AQ88">
        <f>IF(Source!BI37&lt;=1,J77,0)</f>
        <v>26.63</v>
      </c>
      <c r="AX88">
        <f>IF(Source!BI37=2,J77+J78+J80+J86+J87,0)</f>
        <v>0</v>
      </c>
      <c r="AY88">
        <f>IF(Source!BI37=2,J80,0)</f>
        <v>0</v>
      </c>
      <c r="AZ88">
        <f>IF(Source!BI37=2,J78,0)</f>
        <v>0</v>
      </c>
      <c r="BA88">
        <f>IF(Source!BI37=2,J77,0)</f>
        <v>0</v>
      </c>
    </row>
    <row r="89" spans="1:56" ht="117.75">
      <c r="A89" s="74">
        <v>4</v>
      </c>
      <c r="B89" s="74" t="s">
        <v>441</v>
      </c>
      <c r="C89" s="74" t="s">
        <v>450</v>
      </c>
      <c r="D89" s="56" t="str">
        <f>Source!DW41</f>
        <v>т</v>
      </c>
      <c r="E89" s="57">
        <f>Source!K41</f>
        <v>0.01</v>
      </c>
      <c r="F89" s="57"/>
      <c r="G89" s="57">
        <f>Source!I41</f>
        <v>0.01</v>
      </c>
      <c r="H89" s="49"/>
      <c r="I89" s="58"/>
      <c r="J89" s="49"/>
      <c r="K89" s="58"/>
      <c r="L89" s="49"/>
      <c r="AG89">
        <f>ROUND((Source!AT41/100)*((ROUND(Source!AF41*Source!I41,2)+ROUND(Source!AE41*Source!I41,2))),2)</f>
        <v>30.13</v>
      </c>
      <c r="AH89">
        <f>Source!X41</f>
        <v>1125</v>
      </c>
      <c r="AI89">
        <f>ROUND((Source!AU41/100)*((ROUND(Source!AF41*Source!I41,2)+ROUND(Source!AE41*Source!I41,2))),2)</f>
        <v>14.56</v>
      </c>
      <c r="AJ89">
        <f>Source!Y41</f>
        <v>543.75</v>
      </c>
      <c r="AS89">
        <f>IF(Source!BI41&lt;=1,AH89,0)</f>
        <v>1125</v>
      </c>
      <c r="AT89">
        <f>IF(Source!BI41&lt;=1,AJ89,0)</f>
        <v>543.75</v>
      </c>
      <c r="BC89">
        <f>IF(Source!BI41=2,AH89,0)</f>
        <v>0</v>
      </c>
      <c r="BD89">
        <f>IF(Source!BI41=2,AJ89,0)</f>
        <v>0</v>
      </c>
    </row>
    <row r="90" ht="38.25">
      <c r="B90" s="45" t="str">
        <f>Source!EO41</f>
        <v>Поправка: М-ка 421/пр 04.08.20 п.58 п.п. б)</v>
      </c>
    </row>
    <row r="91" spans="1:12" ht="14.25">
      <c r="A91" s="74"/>
      <c r="B91" s="75">
        <v>1</v>
      </c>
      <c r="C91" s="74" t="s">
        <v>429</v>
      </c>
      <c r="D91" s="56"/>
      <c r="E91" s="57"/>
      <c r="F91" s="57"/>
      <c r="G91" s="57"/>
      <c r="H91" s="49">
        <f>Source!AO41</f>
        <v>2560.54</v>
      </c>
      <c r="I91" s="58">
        <f>ROUND(1.15,7)</f>
        <v>1.15</v>
      </c>
      <c r="J91" s="49">
        <f>ROUND(Source!AF41*Source!I41,2)</f>
        <v>29.45</v>
      </c>
      <c r="K91" s="58">
        <f>IF(Source!BA41&lt;&gt;0,Source!BA41,1)</f>
        <v>37.34</v>
      </c>
      <c r="L91" s="49">
        <f>Source!S41</f>
        <v>1099.52</v>
      </c>
    </row>
    <row r="92" spans="1:12" ht="14.25">
      <c r="A92" s="74"/>
      <c r="B92" s="75">
        <v>3</v>
      </c>
      <c r="C92" s="74" t="s">
        <v>430</v>
      </c>
      <c r="D92" s="56"/>
      <c r="E92" s="57"/>
      <c r="F92" s="57"/>
      <c r="G92" s="57"/>
      <c r="H92" s="49">
        <f>Source!AM41</f>
        <v>51.19</v>
      </c>
      <c r="I92" s="58">
        <f>ROUND(1.25,7)</f>
        <v>1.25</v>
      </c>
      <c r="J92" s="49">
        <f>ROUND(((((Source!ET41*ROUND(1.25,7)))-((Source!EU41*ROUND(1.25,7))))+Source!AE41)*Source!I41,2)</f>
        <v>0.64</v>
      </c>
      <c r="K92" s="58">
        <f>IF(Source!BB41&lt;&gt;0,Source!BB41,1)</f>
        <v>13.24</v>
      </c>
      <c r="L92" s="49">
        <f>Source!Q41</f>
        <v>8.47</v>
      </c>
    </row>
    <row r="93" spans="1:12" ht="14.25">
      <c r="A93" s="74"/>
      <c r="B93" s="75">
        <v>2</v>
      </c>
      <c r="C93" s="74" t="s">
        <v>431</v>
      </c>
      <c r="D93" s="56"/>
      <c r="E93" s="57"/>
      <c r="F93" s="57"/>
      <c r="G93" s="57"/>
      <c r="H93" s="49">
        <f>Source!AN41</f>
        <v>7.32</v>
      </c>
      <c r="I93" s="58">
        <f>ROUND(1.25,7)</f>
        <v>1.25</v>
      </c>
      <c r="J93" s="59">
        <f>ROUND(Source!AE41*Source!I41,2)</f>
        <v>0.09</v>
      </c>
      <c r="K93" s="58">
        <f>IF(Source!BS41&lt;&gt;0,Source!BS41,1)</f>
        <v>37.34</v>
      </c>
      <c r="L93" s="59">
        <f>Source!R41</f>
        <v>3.42</v>
      </c>
    </row>
    <row r="94" spans="1:12" ht="14.25">
      <c r="A94" s="74"/>
      <c r="B94" s="75">
        <v>4</v>
      </c>
      <c r="C94" s="74" t="s">
        <v>446</v>
      </c>
      <c r="D94" s="56"/>
      <c r="E94" s="57"/>
      <c r="F94" s="57"/>
      <c r="G94" s="57"/>
      <c r="H94" s="49">
        <f>Source!AL41</f>
        <v>10103.46</v>
      </c>
      <c r="I94" s="58"/>
      <c r="J94" s="49">
        <f>ROUND(Source!AC41*Source!I41,2)</f>
        <v>101.03</v>
      </c>
      <c r="K94" s="58">
        <f>IF(Source!BC41&lt;&gt;0,Source!BC41,1)</f>
        <v>6.72</v>
      </c>
      <c r="L94" s="49">
        <f>Source!P41</f>
        <v>678.95</v>
      </c>
    </row>
    <row r="95" spans="1:12" ht="14.25">
      <c r="A95" s="74"/>
      <c r="B95" s="74"/>
      <c r="C95" s="74" t="s">
        <v>432</v>
      </c>
      <c r="D95" s="56" t="s">
        <v>433</v>
      </c>
      <c r="E95" s="57">
        <f>Source!AQ41</f>
        <v>289</v>
      </c>
      <c r="F95" s="57">
        <f>ROUND(1.15,7)</f>
        <v>1.15</v>
      </c>
      <c r="G95" s="57">
        <f>ROUND(Source!U41,7)</f>
        <v>3.3235</v>
      </c>
      <c r="H95" s="49"/>
      <c r="I95" s="58"/>
      <c r="J95" s="49"/>
      <c r="K95" s="58"/>
      <c r="L95" s="49"/>
    </row>
    <row r="96" spans="1:12" ht="14.25">
      <c r="A96" s="74"/>
      <c r="B96" s="74"/>
      <c r="C96" s="76" t="s">
        <v>434</v>
      </c>
      <c r="D96" s="60" t="s">
        <v>433</v>
      </c>
      <c r="E96" s="61">
        <f>Source!AR41</f>
        <v>0.59</v>
      </c>
      <c r="F96" s="61">
        <f>ROUND(1.25,7)</f>
        <v>1.25</v>
      </c>
      <c r="G96" s="61">
        <f>ROUND(Source!V41,7)</f>
        <v>0.007375</v>
      </c>
      <c r="H96" s="62"/>
      <c r="I96" s="63"/>
      <c r="J96" s="62"/>
      <c r="K96" s="63"/>
      <c r="L96" s="62"/>
    </row>
    <row r="97" spans="1:12" ht="14.25">
      <c r="A97" s="74"/>
      <c r="B97" s="74"/>
      <c r="C97" s="74" t="s">
        <v>435</v>
      </c>
      <c r="D97" s="56"/>
      <c r="E97" s="57"/>
      <c r="F97" s="57"/>
      <c r="G97" s="57"/>
      <c r="H97" s="49">
        <f>H91+H92+H94</f>
        <v>12715.189999999999</v>
      </c>
      <c r="I97" s="58"/>
      <c r="J97" s="49">
        <f>J91+J92+J94</f>
        <v>131.12</v>
      </c>
      <c r="K97" s="58"/>
      <c r="L97" s="49">
        <f>L91+L92+L94</f>
        <v>1786.94</v>
      </c>
    </row>
    <row r="98" spans="1:12" ht="14.25">
      <c r="A98" s="74"/>
      <c r="B98" s="74"/>
      <c r="C98" s="74" t="s">
        <v>436</v>
      </c>
      <c r="D98" s="56"/>
      <c r="E98" s="57"/>
      <c r="F98" s="57"/>
      <c r="G98" s="57"/>
      <c r="H98" s="49"/>
      <c r="I98" s="58"/>
      <c r="J98" s="49">
        <f>SUM(Q89:Q101)+SUM(V89:V101)+SUM(X89:X101)+SUM(Y89:Y101)</f>
        <v>29.54</v>
      </c>
      <c r="K98" s="58"/>
      <c r="L98" s="49">
        <f>SUM(U89:U101)+SUM(W89:W101)+SUM(Z89:Z101)+SUM(AA89:AA101)</f>
        <v>1102.94</v>
      </c>
    </row>
    <row r="99" spans="1:12" ht="42.75">
      <c r="A99" s="74"/>
      <c r="B99" s="74" t="s">
        <v>45</v>
      </c>
      <c r="C99" s="74" t="s">
        <v>443</v>
      </c>
      <c r="D99" s="56" t="s">
        <v>438</v>
      </c>
      <c r="E99" s="57">
        <f>Source!BZ41</f>
        <v>102</v>
      </c>
      <c r="F99" s="57"/>
      <c r="G99" s="57">
        <f>Source!AT41</f>
        <v>102</v>
      </c>
      <c r="H99" s="49"/>
      <c r="I99" s="58"/>
      <c r="J99" s="49">
        <f>SUM(AG89:AG101)</f>
        <v>30.13</v>
      </c>
      <c r="K99" s="58"/>
      <c r="L99" s="49">
        <f>SUM(AH89:AH101)</f>
        <v>1125</v>
      </c>
    </row>
    <row r="100" spans="1:12" ht="42.75">
      <c r="A100" s="76"/>
      <c r="B100" s="76" t="s">
        <v>451</v>
      </c>
      <c r="C100" s="76" t="s">
        <v>444</v>
      </c>
      <c r="D100" s="60" t="s">
        <v>438</v>
      </c>
      <c r="E100" s="61">
        <f>Source!CA41</f>
        <v>58</v>
      </c>
      <c r="F100" s="61">
        <f>ROUND(0.85,7)</f>
        <v>0.85</v>
      </c>
      <c r="G100" s="61">
        <f>Source!AU41</f>
        <v>49.3</v>
      </c>
      <c r="H100" s="62"/>
      <c r="I100" s="63"/>
      <c r="J100" s="62">
        <f>SUM(AI89:AI101)</f>
        <v>14.56</v>
      </c>
      <c r="K100" s="63"/>
      <c r="L100" s="62">
        <f>SUM(AJ89:AJ101)</f>
        <v>543.75</v>
      </c>
    </row>
    <row r="101" spans="3:53" ht="15">
      <c r="C101" s="117" t="s">
        <v>440</v>
      </c>
      <c r="D101" s="117"/>
      <c r="E101" s="117"/>
      <c r="F101" s="117"/>
      <c r="G101" s="117"/>
      <c r="H101" s="117"/>
      <c r="I101" s="117">
        <f>J91+J92+J94+J99+J100</f>
        <v>175.81</v>
      </c>
      <c r="J101" s="117"/>
      <c r="K101" s="117">
        <f>L91+L92+L94+L99+L100</f>
        <v>3455.69</v>
      </c>
      <c r="L101" s="117"/>
      <c r="O101" s="48">
        <f>I101</f>
        <v>175.81</v>
      </c>
      <c r="P101" s="48">
        <f>K101</f>
        <v>3455.69</v>
      </c>
      <c r="Q101" s="48">
        <f>J91</f>
        <v>29.45</v>
      </c>
      <c r="R101" s="48">
        <f>J91</f>
        <v>29.45</v>
      </c>
      <c r="U101" s="48">
        <f>L91</f>
        <v>1099.52</v>
      </c>
      <c r="X101" s="48">
        <f>J93</f>
        <v>0.09</v>
      </c>
      <c r="Z101" s="48">
        <f>L93</f>
        <v>3.42</v>
      </c>
      <c r="AB101" s="48">
        <f>J92</f>
        <v>0.64</v>
      </c>
      <c r="AD101" s="48">
        <f>L92</f>
        <v>8.47</v>
      </c>
      <c r="AF101" s="48">
        <f>J94</f>
        <v>101.03</v>
      </c>
      <c r="AN101">
        <f>IF(Source!BI41&lt;=1,J91+J92+J94+J99+J100,0)</f>
        <v>175.81</v>
      </c>
      <c r="AO101">
        <f>IF(Source!BI41&lt;=1,J94,0)</f>
        <v>101.03</v>
      </c>
      <c r="AP101">
        <f>IF(Source!BI41&lt;=1,J92,0)</f>
        <v>0.64</v>
      </c>
      <c r="AQ101">
        <f>IF(Source!BI41&lt;=1,J91,0)</f>
        <v>29.45</v>
      </c>
      <c r="AX101">
        <f>IF(Source!BI41=2,J91+J92+J94+J99+J100,0)</f>
        <v>0</v>
      </c>
      <c r="AY101">
        <f>IF(Source!BI41=2,J94,0)</f>
        <v>0</v>
      </c>
      <c r="AZ101">
        <f>IF(Source!BI41=2,J92,0)</f>
        <v>0</v>
      </c>
      <c r="BA101">
        <f>IF(Source!BI41=2,J91,0)</f>
        <v>0</v>
      </c>
    </row>
    <row r="102" spans="1:56" ht="132">
      <c r="A102" s="74">
        <v>5</v>
      </c>
      <c r="B102" s="74" t="s">
        <v>427</v>
      </c>
      <c r="C102" s="74" t="s">
        <v>452</v>
      </c>
      <c r="D102" s="56" t="str">
        <f>Source!DW43</f>
        <v>100 м2</v>
      </c>
      <c r="E102" s="57">
        <f>Source!K43</f>
        <v>0.259</v>
      </c>
      <c r="F102" s="57"/>
      <c r="G102" s="57">
        <f>Source!I43</f>
        <v>0.259</v>
      </c>
      <c r="H102" s="49"/>
      <c r="I102" s="58"/>
      <c r="J102" s="49"/>
      <c r="K102" s="58"/>
      <c r="L102" s="49"/>
      <c r="AG102">
        <f>ROUND((Source!AT43/100)*((ROUND(Source!AF43*Source!I43,2)+ROUND(Source!AE43*Source!I43,2))),2)</f>
        <v>840.34</v>
      </c>
      <c r="AH102">
        <f>Source!X43</f>
        <v>31378.12</v>
      </c>
      <c r="AI102">
        <f>ROUND((Source!AU43/100)*((ROUND(Source!AF43*Source!I43,2)+ROUND(Source!AE43*Source!I43,2))),2)</f>
        <v>476.19</v>
      </c>
      <c r="AJ102">
        <f>Source!Y43</f>
        <v>17780.93</v>
      </c>
      <c r="AS102">
        <f>IF(Source!BI43&lt;=1,AH102,0)</f>
        <v>31378.12</v>
      </c>
      <c r="AT102">
        <f>IF(Source!BI43&lt;=1,AJ102,0)</f>
        <v>17780.93</v>
      </c>
      <c r="BC102">
        <f>IF(Source!BI43=2,AH102,0)</f>
        <v>0</v>
      </c>
      <c r="BD102">
        <f>IF(Source!BI43=2,AJ102,0)</f>
        <v>0</v>
      </c>
    </row>
    <row r="103" ht="38.25">
      <c r="B103" s="45" t="str">
        <f>Source!EO43</f>
        <v>Поправка: М-ка 421/пр 04.08.20 п.58 п.п. б)</v>
      </c>
    </row>
    <row r="104" ht="12.75">
      <c r="C104" s="46" t="str">
        <f>"Объем: "&amp;Source!K43&amp;"=25,9/"&amp;"100"</f>
        <v>Объем: 0,259=25,9/100</v>
      </c>
    </row>
    <row r="105" spans="1:12" ht="14.25">
      <c r="A105" s="74"/>
      <c r="B105" s="75">
        <v>1</v>
      </c>
      <c r="C105" s="74" t="s">
        <v>429</v>
      </c>
      <c r="D105" s="56"/>
      <c r="E105" s="57"/>
      <c r="F105" s="57"/>
      <c r="G105" s="57"/>
      <c r="H105" s="49">
        <f>Source!AO43</f>
        <v>2997.88</v>
      </c>
      <c r="I105" s="58">
        <f>ROUND(1.15,7)</f>
        <v>1.15</v>
      </c>
      <c r="J105" s="49">
        <f>ROUND(Source!AF43*Source!I43,2)</f>
        <v>892.92</v>
      </c>
      <c r="K105" s="58">
        <f>IF(Source!BA43&lt;&gt;0,Source!BA43,1)</f>
        <v>37.34</v>
      </c>
      <c r="L105" s="49">
        <f>Source!S43</f>
        <v>33341.56</v>
      </c>
    </row>
    <row r="106" spans="1:12" ht="14.25">
      <c r="A106" s="74"/>
      <c r="B106" s="75">
        <v>3</v>
      </c>
      <c r="C106" s="74" t="s">
        <v>430</v>
      </c>
      <c r="D106" s="56"/>
      <c r="E106" s="57"/>
      <c r="F106" s="57"/>
      <c r="G106" s="57"/>
      <c r="H106" s="49">
        <f>Source!AM43</f>
        <v>575.19</v>
      </c>
      <c r="I106" s="58">
        <f>ROUND(1.25,7)</f>
        <v>1.25</v>
      </c>
      <c r="J106" s="49">
        <f>ROUND(((((Source!ET43*ROUND(1.25,7)))-((Source!EU43*ROUND(1.25,7))))+Source!AE43)*Source!I43,2)</f>
        <v>186.22</v>
      </c>
      <c r="K106" s="58">
        <f>IF(Source!BB43&lt;&gt;0,Source!BB43,1)</f>
        <v>13.24</v>
      </c>
      <c r="L106" s="49">
        <f>Source!Q43</f>
        <v>2465.55</v>
      </c>
    </row>
    <row r="107" spans="1:12" ht="14.25">
      <c r="A107" s="74"/>
      <c r="B107" s="75">
        <v>2</v>
      </c>
      <c r="C107" s="74" t="s">
        <v>431</v>
      </c>
      <c r="D107" s="56"/>
      <c r="E107" s="57"/>
      <c r="F107" s="57"/>
      <c r="G107" s="57"/>
      <c r="H107" s="49">
        <f>Source!AN43</f>
        <v>32.95</v>
      </c>
      <c r="I107" s="58">
        <f>ROUND(1.25,7)</f>
        <v>1.25</v>
      </c>
      <c r="J107" s="59">
        <f>ROUND(Source!AE43*Source!I43,2)</f>
        <v>10.67</v>
      </c>
      <c r="K107" s="58">
        <f>IF(Source!BS43&lt;&gt;0,Source!BS43,1)</f>
        <v>37.34</v>
      </c>
      <c r="L107" s="59">
        <f>Source!R43</f>
        <v>398.35</v>
      </c>
    </row>
    <row r="108" spans="1:12" ht="14.25">
      <c r="A108" s="74"/>
      <c r="B108" s="75">
        <v>4</v>
      </c>
      <c r="C108" s="74" t="s">
        <v>446</v>
      </c>
      <c r="D108" s="56"/>
      <c r="E108" s="57"/>
      <c r="F108" s="57"/>
      <c r="G108" s="57"/>
      <c r="H108" s="49">
        <f>Source!AL43</f>
        <v>275.88</v>
      </c>
      <c r="I108" s="58"/>
      <c r="J108" s="49">
        <f>ROUND(Source!AC43*Source!I43,2)</f>
        <v>71.45</v>
      </c>
      <c r="K108" s="58">
        <f>IF(Source!BC43&lt;&gt;0,Source!BC43,1)</f>
        <v>6.72</v>
      </c>
      <c r="L108" s="49">
        <f>Source!P43</f>
        <v>480.16</v>
      </c>
    </row>
    <row r="109" spans="1:12" ht="14.25">
      <c r="A109" s="74"/>
      <c r="B109" s="74"/>
      <c r="C109" s="74" t="s">
        <v>432</v>
      </c>
      <c r="D109" s="56" t="s">
        <v>433</v>
      </c>
      <c r="E109" s="57">
        <f>Source!AQ43</f>
        <v>298</v>
      </c>
      <c r="F109" s="57">
        <f>ROUND(1.15,7)</f>
        <v>1.15</v>
      </c>
      <c r="G109" s="112">
        <f>ROUND(Source!U43,7)</f>
        <v>88.7593</v>
      </c>
      <c r="H109" s="49"/>
      <c r="I109" s="58"/>
      <c r="J109" s="49"/>
      <c r="K109" s="58"/>
      <c r="L109" s="49"/>
    </row>
    <row r="110" spans="1:12" ht="14.25">
      <c r="A110" s="74"/>
      <c r="B110" s="74"/>
      <c r="C110" s="76" t="s">
        <v>434</v>
      </c>
      <c r="D110" s="60" t="s">
        <v>433</v>
      </c>
      <c r="E110" s="61">
        <f>Source!AR43</f>
        <v>2.48</v>
      </c>
      <c r="F110" s="61">
        <f>ROUND(1.25,7)</f>
        <v>1.25</v>
      </c>
      <c r="G110" s="113">
        <f>ROUND(Source!V43,7)</f>
        <v>0.8029</v>
      </c>
      <c r="H110" s="62"/>
      <c r="I110" s="63"/>
      <c r="J110" s="62"/>
      <c r="K110" s="63"/>
      <c r="L110" s="62"/>
    </row>
    <row r="111" spans="1:12" ht="14.25">
      <c r="A111" s="74"/>
      <c r="B111" s="74"/>
      <c r="C111" s="74" t="s">
        <v>435</v>
      </c>
      <c r="D111" s="56"/>
      <c r="E111" s="57"/>
      <c r="F111" s="57"/>
      <c r="G111" s="57"/>
      <c r="H111" s="49">
        <f>H105+H106+H108</f>
        <v>3848.9500000000003</v>
      </c>
      <c r="I111" s="58"/>
      <c r="J111" s="49">
        <f>J105+J106+J108</f>
        <v>1150.59</v>
      </c>
      <c r="K111" s="58"/>
      <c r="L111" s="49">
        <f>L105+L106+L108</f>
        <v>36287.270000000004</v>
      </c>
    </row>
    <row r="112" spans="1:56" ht="99.75">
      <c r="A112" s="74" t="s">
        <v>78</v>
      </c>
      <c r="B112" s="74" t="s">
        <v>566</v>
      </c>
      <c r="C112" s="74" t="str">
        <f>Source!G45</f>
        <v>Перегородка из профилей алaлюминиевых Realit RW 64 и Realit RF 50 стойка -ригель,  Стеклопакет энергосберегающий 6зак+20+6 И зак.TopN  внешняя, по каталогу RAL  по согласованию согласно проекта (порошковая покраска)</v>
      </c>
      <c r="D112" s="56" t="str">
        <f>Source!DW45</f>
        <v>м2</v>
      </c>
      <c r="E112" s="57">
        <f>SmtRes!AT75</f>
        <v>100</v>
      </c>
      <c r="F112" s="57"/>
      <c r="G112" s="57">
        <f>Source!I45</f>
        <v>25.9</v>
      </c>
      <c r="H112" s="49">
        <f>Source!AL45+Source!AO45+Source!AM45</f>
        <v>30757</v>
      </c>
      <c r="I112" s="58"/>
      <c r="J112" s="49">
        <f>ROUND(Source!AC45*Source!I45,2)+ROUND((((Source!ET45)-(Source!EU45))+Source!AE45)*Source!I45,2)+ROUND(Source!AF45*Source!I45,2)</f>
        <v>796606.3</v>
      </c>
      <c r="K112" s="58">
        <v>1</v>
      </c>
      <c r="L112" s="49">
        <f>K112*J112</f>
        <v>796606.3</v>
      </c>
      <c r="AF112" s="48">
        <f>J112</f>
        <v>796606.3</v>
      </c>
      <c r="AG112">
        <f>ROUND((Source!AT45/100)*((ROUND(Source!AF45*Source!I45,2)+ROUND(Source!AE45*Source!I45,2))),2)</f>
        <v>0</v>
      </c>
      <c r="AH112">
        <f>Source!X45</f>
        <v>0</v>
      </c>
      <c r="AI112">
        <f>ROUND((Source!AU45/100)*((ROUND(Source!AF45*Source!I45,2)+ROUND(Source!AE45*Source!I45,2))),2)</f>
        <v>0</v>
      </c>
      <c r="AJ112">
        <f>Source!Y45</f>
        <v>0</v>
      </c>
      <c r="AN112">
        <f>IF(Source!BI45&lt;=1,J112,0)</f>
        <v>796606.3</v>
      </c>
      <c r="AO112">
        <f>IF(Source!BI45&lt;=1,J112,0)</f>
        <v>796606.3</v>
      </c>
      <c r="AS112">
        <f>IF(Source!BI45&lt;=1,AH112,0)</f>
        <v>0</v>
      </c>
      <c r="AT112">
        <f>IF(Source!BI45&lt;=1,AJ112,0)</f>
        <v>0</v>
      </c>
      <c r="AX112">
        <f>IF(Source!BI45=2,J112,0)</f>
        <v>0</v>
      </c>
      <c r="AY112">
        <f>IF(Source!BI45=2,J112,0)</f>
        <v>0</v>
      </c>
      <c r="BC112">
        <f>IF(Source!BI45=2,AH112,0)</f>
        <v>0</v>
      </c>
      <c r="BD112">
        <f>IF(Source!BI45=2,AJ112,0)</f>
        <v>0</v>
      </c>
    </row>
    <row r="113" spans="1:56" ht="28.5">
      <c r="A113" s="74" t="s">
        <v>83</v>
      </c>
      <c r="B113" s="74" t="s">
        <v>566</v>
      </c>
      <c r="C113" s="74" t="str">
        <f>Source!G47</f>
        <v>Монтажные комплектующие</v>
      </c>
      <c r="D113" s="56" t="str">
        <f>Source!DW47</f>
        <v>КОМПЛ</v>
      </c>
      <c r="E113" s="112">
        <f>SmtRes!AT76</f>
        <v>3.861004</v>
      </c>
      <c r="F113" s="57"/>
      <c r="G113" s="57">
        <f>Source!I47</f>
        <v>1</v>
      </c>
      <c r="H113" s="49">
        <f>Source!AL47+Source!AO47+Source!AM47</f>
        <v>78547</v>
      </c>
      <c r="I113" s="58"/>
      <c r="J113" s="49">
        <f>ROUND(Source!AC47*Source!I47,2)+ROUND((((Source!ET47)-(Source!EU47))+Source!AE47)*Source!I47,2)+ROUND(Source!AF47*Source!I47,2)</f>
        <v>78547</v>
      </c>
      <c r="K113" s="58">
        <v>1</v>
      </c>
      <c r="L113" s="49">
        <f>K113*J113</f>
        <v>78547</v>
      </c>
      <c r="AF113" s="48">
        <f>J113</f>
        <v>78547</v>
      </c>
      <c r="AG113">
        <f>ROUND((Source!AT47/100)*((ROUND(Source!AF47*Source!I47,2)+ROUND(Source!AE47*Source!I47,2))),2)</f>
        <v>0</v>
      </c>
      <c r="AH113">
        <f>Source!X47</f>
        <v>0</v>
      </c>
      <c r="AI113">
        <f>ROUND((Source!AU47/100)*((ROUND(Source!AF47*Source!I47,2)+ROUND(Source!AE47*Source!I47,2))),2)</f>
        <v>0</v>
      </c>
      <c r="AJ113">
        <f>Source!Y47</f>
        <v>0</v>
      </c>
      <c r="AN113">
        <f>IF(Source!BI47&lt;=1,J113,0)</f>
        <v>78547</v>
      </c>
      <c r="AO113">
        <f>IF(Source!BI47&lt;=1,J113,0)</f>
        <v>78547</v>
      </c>
      <c r="AS113">
        <f>IF(Source!BI47&lt;=1,AH113,0)</f>
        <v>0</v>
      </c>
      <c r="AT113">
        <f>IF(Source!BI47&lt;=1,AJ113,0)</f>
        <v>0</v>
      </c>
      <c r="AX113">
        <f>IF(Source!BI47=2,J113,0)</f>
        <v>0</v>
      </c>
      <c r="AY113">
        <f>IF(Source!BI47=2,J113,0)</f>
        <v>0</v>
      </c>
      <c r="BC113">
        <f>IF(Source!BI47=2,AH113,0)</f>
        <v>0</v>
      </c>
      <c r="BD113">
        <f>IF(Source!BI47=2,AJ113,0)</f>
        <v>0</v>
      </c>
    </row>
    <row r="114" spans="1:12" ht="14.25">
      <c r="A114" s="74"/>
      <c r="B114" s="74"/>
      <c r="C114" s="74" t="s">
        <v>436</v>
      </c>
      <c r="D114" s="56"/>
      <c r="E114" s="57"/>
      <c r="F114" s="57"/>
      <c r="G114" s="57"/>
      <c r="H114" s="49"/>
      <c r="I114" s="58"/>
      <c r="J114" s="49">
        <f>SUM(Q102:Q117)+SUM(V102:V117)+SUM(X102:X117)+SUM(Y102:Y117)</f>
        <v>903.5899999999999</v>
      </c>
      <c r="K114" s="58"/>
      <c r="L114" s="49">
        <f>SUM(U102:U117)+SUM(W102:W117)+SUM(Z102:Z117)+SUM(AA102:AA117)</f>
        <v>33739.909999999996</v>
      </c>
    </row>
    <row r="115" spans="1:12" ht="28.5">
      <c r="A115" s="74"/>
      <c r="B115" s="74" t="s">
        <v>35</v>
      </c>
      <c r="C115" s="74" t="s">
        <v>437</v>
      </c>
      <c r="D115" s="56" t="s">
        <v>438</v>
      </c>
      <c r="E115" s="57">
        <f>Source!BZ43</f>
        <v>93</v>
      </c>
      <c r="F115" s="57"/>
      <c r="G115" s="57">
        <f>Source!AT43</f>
        <v>93</v>
      </c>
      <c r="H115" s="49"/>
      <c r="I115" s="58"/>
      <c r="J115" s="49">
        <f>SUM(AG102:AG117)</f>
        <v>840.34</v>
      </c>
      <c r="K115" s="58"/>
      <c r="L115" s="49">
        <f>SUM(AH102:AH117)</f>
        <v>31378.12</v>
      </c>
    </row>
    <row r="116" spans="1:12" ht="28.5">
      <c r="A116" s="76"/>
      <c r="B116" s="76" t="s">
        <v>453</v>
      </c>
      <c r="C116" s="76" t="s">
        <v>439</v>
      </c>
      <c r="D116" s="60" t="s">
        <v>438</v>
      </c>
      <c r="E116" s="61">
        <f>Source!CA43</f>
        <v>62</v>
      </c>
      <c r="F116" s="61">
        <f>ROUND(0.85,7)</f>
        <v>0.85</v>
      </c>
      <c r="G116" s="61">
        <f>Source!AU43</f>
        <v>52.7</v>
      </c>
      <c r="H116" s="62"/>
      <c r="I116" s="63"/>
      <c r="J116" s="62">
        <f>SUM(AI102:AI117)</f>
        <v>476.19</v>
      </c>
      <c r="K116" s="63"/>
      <c r="L116" s="62">
        <f>SUM(AJ102:AJ117)</f>
        <v>17780.93</v>
      </c>
    </row>
    <row r="117" spans="3:53" ht="15">
      <c r="C117" s="117" t="s">
        <v>440</v>
      </c>
      <c r="D117" s="117"/>
      <c r="E117" s="117"/>
      <c r="F117" s="117"/>
      <c r="G117" s="117"/>
      <c r="H117" s="117"/>
      <c r="I117" s="117">
        <f>J105+J106+J108+J115+J116+SUM(J112:J113)</f>
        <v>877620.42</v>
      </c>
      <c r="J117" s="117"/>
      <c r="K117" s="117">
        <f>L105+L106+L108+L115+L116+SUM(L112:L113)</f>
        <v>960599.6200000001</v>
      </c>
      <c r="L117" s="117"/>
      <c r="O117" s="48">
        <f>I117</f>
        <v>877620.42</v>
      </c>
      <c r="P117" s="48">
        <f>K117</f>
        <v>960599.6200000001</v>
      </c>
      <c r="Q117" s="48">
        <f>J105</f>
        <v>892.92</v>
      </c>
      <c r="R117" s="48">
        <f>J105</f>
        <v>892.92</v>
      </c>
      <c r="U117" s="48">
        <f>L105</f>
        <v>33341.56</v>
      </c>
      <c r="X117" s="48">
        <f>J107</f>
        <v>10.67</v>
      </c>
      <c r="Z117" s="48">
        <f>L107</f>
        <v>398.35</v>
      </c>
      <c r="AB117" s="48">
        <f>J106</f>
        <v>186.22</v>
      </c>
      <c r="AD117" s="48">
        <f>L106</f>
        <v>2465.55</v>
      </c>
      <c r="AF117" s="48">
        <f>J108</f>
        <v>71.45</v>
      </c>
      <c r="AN117">
        <f>IF(Source!BI43&lt;=1,J105+J106+J108+J115+J116,0)</f>
        <v>2467.12</v>
      </c>
      <c r="AO117">
        <f>IF(Source!BI43&lt;=1,J108,0)</f>
        <v>71.45</v>
      </c>
      <c r="AP117">
        <f>IF(Source!BI43&lt;=1,J106,0)</f>
        <v>186.22</v>
      </c>
      <c r="AQ117">
        <f>IF(Source!BI43&lt;=1,J105,0)</f>
        <v>892.92</v>
      </c>
      <c r="AX117">
        <f>IF(Source!BI43=2,J105+J106+J108+J115+J116,0)</f>
        <v>0</v>
      </c>
      <c r="AY117">
        <f>IF(Source!BI43=2,J108,0)</f>
        <v>0</v>
      </c>
      <c r="AZ117">
        <f>IF(Source!BI43=2,J106,0)</f>
        <v>0</v>
      </c>
      <c r="BA117">
        <f>IF(Source!BI43=2,J105,0)</f>
        <v>0</v>
      </c>
    </row>
    <row r="118" spans="1:56" ht="103.5">
      <c r="A118" s="74">
        <v>6</v>
      </c>
      <c r="B118" s="74" t="s">
        <v>454</v>
      </c>
      <c r="C118" s="74" t="s">
        <v>455</v>
      </c>
      <c r="D118" s="56" t="str">
        <f>Source!DW49</f>
        <v>100 м</v>
      </c>
      <c r="E118" s="57">
        <f>Source!K49</f>
        <v>0.677</v>
      </c>
      <c r="F118" s="57"/>
      <c r="G118" s="57">
        <f>Source!I49</f>
        <v>0.677</v>
      </c>
      <c r="H118" s="49"/>
      <c r="I118" s="58"/>
      <c r="J118" s="49"/>
      <c r="K118" s="58"/>
      <c r="L118" s="49"/>
      <c r="AG118">
        <f>ROUND((Source!AT49/100)*((ROUND(Source!AF49*Source!I49,2)+ROUND(Source!AE49*Source!I49,2))),2)</f>
        <v>217.37</v>
      </c>
      <c r="AH118">
        <f>Source!X49</f>
        <v>8116.71</v>
      </c>
      <c r="AI118">
        <f>ROUND((Source!AU49/100)*((ROUND(Source!AF49*Source!I49,2)+ROUND(Source!AE49*Source!I49,2))),2)</f>
        <v>123.18</v>
      </c>
      <c r="AJ118">
        <f>Source!Y49</f>
        <v>4599.47</v>
      </c>
      <c r="AS118">
        <f>IF(Source!BI49&lt;=1,AH118,0)</f>
        <v>8116.71</v>
      </c>
      <c r="AT118">
        <f>IF(Source!BI49&lt;=1,AJ118,0)</f>
        <v>4599.47</v>
      </c>
      <c r="BC118">
        <f>IF(Source!BI49=2,AH118,0)</f>
        <v>0</v>
      </c>
      <c r="BD118">
        <f>IF(Source!BI49=2,AJ118,0)</f>
        <v>0</v>
      </c>
    </row>
    <row r="119" ht="38.25">
      <c r="B119" s="45" t="str">
        <f>Source!EO49</f>
        <v>Поправка: М-ка 421/пр 04.08.20 п.58 п.п. б)</v>
      </c>
    </row>
    <row r="120" ht="12.75">
      <c r="C120" s="46" t="str">
        <f>"Объем: "&amp;Source!K49&amp;"=67,7/"&amp;"100"</f>
        <v>Объем: 0,677=67,7/100</v>
      </c>
    </row>
    <row r="121" spans="1:12" ht="14.25">
      <c r="A121" s="74"/>
      <c r="B121" s="75">
        <v>1</v>
      </c>
      <c r="C121" s="74" t="s">
        <v>429</v>
      </c>
      <c r="D121" s="56"/>
      <c r="E121" s="57"/>
      <c r="F121" s="57"/>
      <c r="G121" s="57"/>
      <c r="H121" s="49">
        <f>Source!AO49</f>
        <v>300.22</v>
      </c>
      <c r="I121" s="58">
        <f>ROUND(1.15,7)</f>
        <v>1.15</v>
      </c>
      <c r="J121" s="49">
        <f>ROUND(Source!AF49*Source!I49,2)</f>
        <v>233.73</v>
      </c>
      <c r="K121" s="58">
        <f>IF(Source!BA49&lt;&gt;0,Source!BA49,1)</f>
        <v>37.34</v>
      </c>
      <c r="L121" s="49">
        <f>Source!S49</f>
        <v>8727.64</v>
      </c>
    </row>
    <row r="122" spans="1:12" ht="14.25">
      <c r="A122" s="74"/>
      <c r="B122" s="75">
        <v>4</v>
      </c>
      <c r="C122" s="74" t="s">
        <v>446</v>
      </c>
      <c r="D122" s="56"/>
      <c r="E122" s="57"/>
      <c r="F122" s="57"/>
      <c r="G122" s="57"/>
      <c r="H122" s="49">
        <f>Source!AL49</f>
        <v>137.73</v>
      </c>
      <c r="I122" s="58"/>
      <c r="J122" s="49">
        <f>ROUND(Source!AC49*Source!I49,2)</f>
        <v>93.24</v>
      </c>
      <c r="K122" s="58">
        <f>IF(Source!BC49&lt;&gt;0,Source!BC49,1)</f>
        <v>6.72</v>
      </c>
      <c r="L122" s="49">
        <f>Source!P49</f>
        <v>626.59</v>
      </c>
    </row>
    <row r="123" spans="1:12" ht="14.25">
      <c r="A123" s="74"/>
      <c r="B123" s="74"/>
      <c r="C123" s="76" t="s">
        <v>432</v>
      </c>
      <c r="D123" s="60" t="s">
        <v>433</v>
      </c>
      <c r="E123" s="61">
        <f>Source!AQ49</f>
        <v>33.1</v>
      </c>
      <c r="F123" s="61">
        <f>ROUND(1.15,7)</f>
        <v>1.15</v>
      </c>
      <c r="G123" s="113">
        <f>ROUND(Source!U49,7)</f>
        <v>25.770005</v>
      </c>
      <c r="H123" s="62"/>
      <c r="I123" s="63"/>
      <c r="J123" s="62"/>
      <c r="K123" s="63"/>
      <c r="L123" s="62"/>
    </row>
    <row r="124" spans="1:12" ht="14.25">
      <c r="A124" s="74"/>
      <c r="B124" s="74"/>
      <c r="C124" s="74" t="s">
        <v>435</v>
      </c>
      <c r="D124" s="56"/>
      <c r="E124" s="57"/>
      <c r="F124" s="57"/>
      <c r="G124" s="57"/>
      <c r="H124" s="49">
        <f>H121+H122</f>
        <v>437.95000000000005</v>
      </c>
      <c r="I124" s="58"/>
      <c r="J124" s="49">
        <f>J121+J122</f>
        <v>326.96999999999997</v>
      </c>
      <c r="K124" s="58"/>
      <c r="L124" s="49">
        <f>L121+L122</f>
        <v>9354.23</v>
      </c>
    </row>
    <row r="125" spans="1:56" ht="28.5">
      <c r="A125" s="74" t="s">
        <v>91</v>
      </c>
      <c r="B125" s="74" t="s">
        <v>566</v>
      </c>
      <c r="C125" s="74" t="str">
        <f>Source!G51</f>
        <v>Нащельники и детали примыканий</v>
      </c>
      <c r="D125" s="56" t="str">
        <f>Source!DW51</f>
        <v>м</v>
      </c>
      <c r="E125" s="57">
        <f>SmtRes!AT82</f>
        <v>100</v>
      </c>
      <c r="F125" s="57"/>
      <c r="G125" s="57">
        <f>Source!I51</f>
        <v>67.7</v>
      </c>
      <c r="H125" s="49">
        <f>Source!AL51+Source!AO51+Source!AM51</f>
        <v>2917</v>
      </c>
      <c r="I125" s="58"/>
      <c r="J125" s="49">
        <f>ROUND(Source!AC51*Source!I51,2)+ROUND((((Source!ET51)-(Source!EU51))+Source!AE51)*Source!I51,2)+ROUND(Source!AF51*Source!I51,2)</f>
        <v>197480.9</v>
      </c>
      <c r="K125" s="58">
        <v>1</v>
      </c>
      <c r="L125" s="49">
        <f>K125*J125</f>
        <v>197480.9</v>
      </c>
      <c r="AF125" s="48">
        <f>J125</f>
        <v>197480.9</v>
      </c>
      <c r="AG125">
        <f>ROUND((Source!AT51/100)*((ROUND(Source!AF51*Source!I51,2)+ROUND(Source!AE51*Source!I51,2))),2)</f>
        <v>0</v>
      </c>
      <c r="AH125">
        <f>Source!X51</f>
        <v>0</v>
      </c>
      <c r="AI125">
        <f>ROUND((Source!AU51/100)*((ROUND(Source!AF51*Source!I51,2)+ROUND(Source!AE51*Source!I51,2))),2)</f>
        <v>0</v>
      </c>
      <c r="AJ125">
        <f>Source!Y51</f>
        <v>0</v>
      </c>
      <c r="AN125">
        <f>IF(Source!BI51&lt;=1,J125,0)</f>
        <v>197480.9</v>
      </c>
      <c r="AO125">
        <f>IF(Source!BI51&lt;=1,J125,0)</f>
        <v>197480.9</v>
      </c>
      <c r="AS125">
        <f>IF(Source!BI51&lt;=1,AH125,0)</f>
        <v>0</v>
      </c>
      <c r="AT125">
        <f>IF(Source!BI51&lt;=1,AJ125,0)</f>
        <v>0</v>
      </c>
      <c r="AX125">
        <f>IF(Source!BI51=2,J125,0)</f>
        <v>0</v>
      </c>
      <c r="AY125">
        <f>IF(Source!BI51=2,J125,0)</f>
        <v>0</v>
      </c>
      <c r="BC125">
        <f>IF(Source!BI51=2,AH125,0)</f>
        <v>0</v>
      </c>
      <c r="BD125">
        <f>IF(Source!BI51=2,AJ125,0)</f>
        <v>0</v>
      </c>
    </row>
    <row r="126" spans="1:12" ht="14.25">
      <c r="A126" s="74"/>
      <c r="B126" s="74"/>
      <c r="C126" s="74" t="s">
        <v>436</v>
      </c>
      <c r="D126" s="56"/>
      <c r="E126" s="57"/>
      <c r="F126" s="57"/>
      <c r="G126" s="57"/>
      <c r="H126" s="49"/>
      <c r="I126" s="58"/>
      <c r="J126" s="49">
        <f>SUM(Q118:Q129)+SUM(V118:V129)+SUM(X118:X129)+SUM(Y118:Y129)</f>
        <v>233.73</v>
      </c>
      <c r="K126" s="58"/>
      <c r="L126" s="49">
        <f>SUM(U118:U129)+SUM(W118:W129)+SUM(Z118:Z129)+SUM(AA118:AA129)</f>
        <v>8727.64</v>
      </c>
    </row>
    <row r="127" spans="1:12" ht="28.5">
      <c r="A127" s="74"/>
      <c r="B127" s="74" t="s">
        <v>35</v>
      </c>
      <c r="C127" s="74" t="s">
        <v>437</v>
      </c>
      <c r="D127" s="56" t="s">
        <v>438</v>
      </c>
      <c r="E127" s="57">
        <f>Source!BZ49</f>
        <v>93</v>
      </c>
      <c r="F127" s="57"/>
      <c r="G127" s="57">
        <f>Source!AT49</f>
        <v>93</v>
      </c>
      <c r="H127" s="49"/>
      <c r="I127" s="58"/>
      <c r="J127" s="49">
        <f>SUM(AG118:AG129)</f>
        <v>217.37</v>
      </c>
      <c r="K127" s="58"/>
      <c r="L127" s="49">
        <f>SUM(AH118:AH129)</f>
        <v>8116.71</v>
      </c>
    </row>
    <row r="128" spans="1:12" ht="28.5">
      <c r="A128" s="76"/>
      <c r="B128" s="76" t="s">
        <v>453</v>
      </c>
      <c r="C128" s="76" t="s">
        <v>439</v>
      </c>
      <c r="D128" s="60" t="s">
        <v>438</v>
      </c>
      <c r="E128" s="61">
        <f>Source!CA49</f>
        <v>62</v>
      </c>
      <c r="F128" s="61">
        <f>ROUND(0.85,7)</f>
        <v>0.85</v>
      </c>
      <c r="G128" s="61">
        <f>Source!AU49</f>
        <v>52.7</v>
      </c>
      <c r="H128" s="62"/>
      <c r="I128" s="63"/>
      <c r="J128" s="62">
        <f>SUM(AI118:AI129)</f>
        <v>123.18</v>
      </c>
      <c r="K128" s="63"/>
      <c r="L128" s="62">
        <f>SUM(AJ118:AJ129)</f>
        <v>4599.47</v>
      </c>
    </row>
    <row r="129" spans="3:53" ht="15">
      <c r="C129" s="117" t="s">
        <v>440</v>
      </c>
      <c r="D129" s="117"/>
      <c r="E129" s="117"/>
      <c r="F129" s="117"/>
      <c r="G129" s="117"/>
      <c r="H129" s="117"/>
      <c r="I129" s="117">
        <f>J121+J122+J127+J128+SUM(J125:J125)</f>
        <v>198148.41999999998</v>
      </c>
      <c r="J129" s="117"/>
      <c r="K129" s="117">
        <f>L121+L122+L127+L128+SUM(L125:L125)</f>
        <v>219551.31</v>
      </c>
      <c r="L129" s="117"/>
      <c r="O129" s="48">
        <f>I129</f>
        <v>198148.41999999998</v>
      </c>
      <c r="P129" s="48">
        <f>K129</f>
        <v>219551.31</v>
      </c>
      <c r="Q129" s="48">
        <f>J121</f>
        <v>233.73</v>
      </c>
      <c r="R129" s="48">
        <f>J121</f>
        <v>233.73</v>
      </c>
      <c r="U129" s="48">
        <f>L121</f>
        <v>8727.64</v>
      </c>
      <c r="X129">
        <f>0</f>
        <v>0</v>
      </c>
      <c r="Z129">
        <f>0</f>
        <v>0</v>
      </c>
      <c r="AB129">
        <f>0</f>
        <v>0</v>
      </c>
      <c r="AD129">
        <f>0</f>
        <v>0</v>
      </c>
      <c r="AF129" s="48">
        <f>J122</f>
        <v>93.24</v>
      </c>
      <c r="AN129">
        <f>IF(Source!BI49&lt;=1,J121+J122+J127+J128,0)</f>
        <v>667.52</v>
      </c>
      <c r="AO129">
        <f>IF(Source!BI49&lt;=1,J122,0)</f>
        <v>93.24</v>
      </c>
      <c r="AP129">
        <f>IF(Source!BI49&lt;=1,0,0)</f>
        <v>0</v>
      </c>
      <c r="AQ129">
        <f>IF(Source!BI49&lt;=1,J121,0)</f>
        <v>233.73</v>
      </c>
      <c r="AX129">
        <f>IF(Source!BI49=2,J121+J122+J127+J128,0)</f>
        <v>0</v>
      </c>
      <c r="AY129">
        <f>IF(Source!BI49=2,J122,0)</f>
        <v>0</v>
      </c>
      <c r="AZ129">
        <f>IF(Source!BI49=2,0,0)</f>
        <v>0</v>
      </c>
      <c r="BA129">
        <f>IF(Source!BI49=2,J121,0)</f>
        <v>0</v>
      </c>
    </row>
    <row r="130" spans="1:56" ht="117.75">
      <c r="A130" s="74">
        <v>7</v>
      </c>
      <c r="B130" s="74" t="s">
        <v>456</v>
      </c>
      <c r="C130" s="74" t="s">
        <v>457</v>
      </c>
      <c r="D130" s="56" t="str">
        <f>Source!DW53</f>
        <v>100 м</v>
      </c>
      <c r="E130" s="57">
        <f>Source!K53</f>
        <v>0.03</v>
      </c>
      <c r="F130" s="57"/>
      <c r="G130" s="57">
        <f>Source!I53</f>
        <v>0.03</v>
      </c>
      <c r="H130" s="49"/>
      <c r="I130" s="58"/>
      <c r="J130" s="49"/>
      <c r="K130" s="58"/>
      <c r="L130" s="49"/>
      <c r="AG130">
        <f>ROUND((Source!AT53/100)*((ROUND(Source!AF53*Source!I53,2)+ROUND(Source!AE53*Source!I53,2))),2)</f>
        <v>5.49</v>
      </c>
      <c r="AH130">
        <f>Source!X53</f>
        <v>204.79</v>
      </c>
      <c r="AI130">
        <f>ROUND((Source!AU53/100)*((ROUND(Source!AF53*Source!I53,2)+ROUND(Source!AE53*Source!I53,2))),2)</f>
        <v>2.71</v>
      </c>
      <c r="AJ130">
        <f>Source!Y53</f>
        <v>101.02</v>
      </c>
      <c r="AS130">
        <f>IF(Source!BI53&lt;=1,AH130,0)</f>
        <v>204.79</v>
      </c>
      <c r="AT130">
        <f>IF(Source!BI53&lt;=1,AJ130,0)</f>
        <v>101.02</v>
      </c>
      <c r="BC130">
        <f>IF(Source!BI53=2,AH130,0)</f>
        <v>0</v>
      </c>
      <c r="BD130">
        <f>IF(Source!BI53=2,AJ130,0)</f>
        <v>0</v>
      </c>
    </row>
    <row r="131" ht="38.25">
      <c r="B131" s="45" t="str">
        <f>Source!EO53</f>
        <v>Поправка: М-ка 421/пр 04.08.20 п.58 п.п. б)</v>
      </c>
    </row>
    <row r="132" ht="12.75">
      <c r="C132" s="46" t="str">
        <f>"Объем: "&amp;Source!K53&amp;"=3/"&amp;"100"</f>
        <v>Объем: 0,03=3/100</v>
      </c>
    </row>
    <row r="133" spans="1:12" ht="14.25">
      <c r="A133" s="74"/>
      <c r="B133" s="75">
        <v>1</v>
      </c>
      <c r="C133" s="74" t="s">
        <v>429</v>
      </c>
      <c r="D133" s="56"/>
      <c r="E133" s="57"/>
      <c r="F133" s="57"/>
      <c r="G133" s="57"/>
      <c r="H133" s="49">
        <f>Source!AO53</f>
        <v>141.94</v>
      </c>
      <c r="I133" s="58">
        <f>ROUND(1.15,7)</f>
        <v>1.15</v>
      </c>
      <c r="J133" s="49">
        <f>ROUND(Source!AF53*Source!I53,2)</f>
        <v>4.9</v>
      </c>
      <c r="K133" s="58">
        <f>IF(Source!BA53&lt;&gt;0,Source!BA53,1)</f>
        <v>37.34</v>
      </c>
      <c r="L133" s="49">
        <f>Source!S53</f>
        <v>182.85</v>
      </c>
    </row>
    <row r="134" spans="1:12" ht="14.25">
      <c r="A134" s="74"/>
      <c r="B134" s="75">
        <v>4</v>
      </c>
      <c r="C134" s="74" t="s">
        <v>446</v>
      </c>
      <c r="D134" s="56"/>
      <c r="E134" s="57"/>
      <c r="F134" s="57"/>
      <c r="G134" s="57"/>
      <c r="H134" s="49">
        <f>Source!AL53</f>
        <v>80.4</v>
      </c>
      <c r="I134" s="58"/>
      <c r="J134" s="49">
        <f>ROUND(Source!AC53*Source!I53,2)</f>
        <v>2.41</v>
      </c>
      <c r="K134" s="58">
        <f>IF(Source!BC53&lt;&gt;0,Source!BC53,1)</f>
        <v>6.72</v>
      </c>
      <c r="L134" s="49">
        <f>Source!P53</f>
        <v>16.21</v>
      </c>
    </row>
    <row r="135" spans="1:12" ht="14.25">
      <c r="A135" s="74"/>
      <c r="B135" s="74"/>
      <c r="C135" s="76" t="s">
        <v>432</v>
      </c>
      <c r="D135" s="60" t="s">
        <v>433</v>
      </c>
      <c r="E135" s="61">
        <f>Source!AQ53</f>
        <v>16.64</v>
      </c>
      <c r="F135" s="61">
        <f>ROUND(1.15,7)</f>
        <v>1.15</v>
      </c>
      <c r="G135" s="113">
        <f>ROUND(Source!U53,7)</f>
        <v>0.57408</v>
      </c>
      <c r="H135" s="62"/>
      <c r="I135" s="63"/>
      <c r="J135" s="62"/>
      <c r="K135" s="63"/>
      <c r="L135" s="62"/>
    </row>
    <row r="136" spans="1:12" ht="14.25">
      <c r="A136" s="74"/>
      <c r="B136" s="74"/>
      <c r="C136" s="74" t="s">
        <v>435</v>
      </c>
      <c r="D136" s="56"/>
      <c r="E136" s="57"/>
      <c r="F136" s="57"/>
      <c r="G136" s="57"/>
      <c r="H136" s="49">
        <f>H133+H134</f>
        <v>222.34</v>
      </c>
      <c r="I136" s="58"/>
      <c r="J136" s="49">
        <f>J133+J134</f>
        <v>7.3100000000000005</v>
      </c>
      <c r="K136" s="58"/>
      <c r="L136" s="49">
        <f>L133+L134</f>
        <v>199.06</v>
      </c>
    </row>
    <row r="137" spans="1:56" ht="42.75">
      <c r="A137" s="74" t="s">
        <v>102</v>
      </c>
      <c r="B137" s="74" t="s">
        <v>458</v>
      </c>
      <c r="C137" s="74" t="str">
        <f>Source!G55</f>
        <v>Профили стыкоперекрывающие из алюминиевых сплавов (порожки) с покрытием, шириной 60 мм</v>
      </c>
      <c r="D137" s="56" t="str">
        <f>Source!DW55</f>
        <v>м</v>
      </c>
      <c r="E137" s="57">
        <f>SmtRes!AT88</f>
        <v>105</v>
      </c>
      <c r="F137" s="57"/>
      <c r="G137" s="57">
        <f>Source!I55</f>
        <v>3.15</v>
      </c>
      <c r="H137" s="49">
        <f>Source!AL55+Source!AO55+Source!AM55</f>
        <v>22.58</v>
      </c>
      <c r="I137" s="58"/>
      <c r="J137" s="49">
        <f>ROUND(Source!AC55*Source!I55,2)+ROUND((((Source!ET55)-(Source!EU55))+Source!AE55)*Source!I55,2)+ROUND(Source!AF55*Source!I55,2)</f>
        <v>71.13</v>
      </c>
      <c r="K137" s="58">
        <f>IF(Source!BC55&lt;&gt;0,Source!BC55,1)</f>
        <v>6.72</v>
      </c>
      <c r="L137" s="49">
        <f>Source!O55</f>
        <v>477.97</v>
      </c>
      <c r="AF137" s="48">
        <f>J137</f>
        <v>71.13</v>
      </c>
      <c r="AG137">
        <f>ROUND((Source!AT55/100)*((ROUND(Source!AF55*Source!I55,2)+ROUND(Source!AE55*Source!I55,2))),2)</f>
        <v>0</v>
      </c>
      <c r="AH137">
        <f>Source!X55</f>
        <v>0</v>
      </c>
      <c r="AI137">
        <f>ROUND((Source!AU55/100)*((ROUND(Source!AF55*Source!I55,2)+ROUND(Source!AE55*Source!I55,2))),2)</f>
        <v>0</v>
      </c>
      <c r="AJ137">
        <f>Source!Y55</f>
        <v>0</v>
      </c>
      <c r="AN137">
        <f>IF(Source!BI55&lt;=1,J137,0)</f>
        <v>71.13</v>
      </c>
      <c r="AO137">
        <f>IF(Source!BI55&lt;=1,J137,0)</f>
        <v>71.13</v>
      </c>
      <c r="AS137">
        <f>IF(Source!BI55&lt;=1,AH137,0)</f>
        <v>0</v>
      </c>
      <c r="AT137">
        <f>IF(Source!BI55&lt;=1,AJ137,0)</f>
        <v>0</v>
      </c>
      <c r="AX137">
        <f>IF(Source!BI55=2,J137,0)</f>
        <v>0</v>
      </c>
      <c r="AY137">
        <f>IF(Source!BI55=2,J137,0)</f>
        <v>0</v>
      </c>
      <c r="BC137">
        <f>IF(Source!BI55=2,AH137,0)</f>
        <v>0</v>
      </c>
      <c r="BD137">
        <f>IF(Source!BI55=2,AJ137,0)</f>
        <v>0</v>
      </c>
    </row>
    <row r="138" spans="1:12" ht="14.25">
      <c r="A138" s="74"/>
      <c r="B138" s="74"/>
      <c r="C138" s="74" t="s">
        <v>436</v>
      </c>
      <c r="D138" s="56"/>
      <c r="E138" s="57"/>
      <c r="F138" s="57"/>
      <c r="G138" s="57"/>
      <c r="H138" s="49"/>
      <c r="I138" s="58"/>
      <c r="J138" s="49">
        <f>SUM(Q130:Q141)+SUM(V130:V141)+SUM(X130:X141)+SUM(Y130:Y141)</f>
        <v>4.9</v>
      </c>
      <c r="K138" s="58"/>
      <c r="L138" s="49">
        <f>SUM(U130:U141)+SUM(W130:W141)+SUM(Z130:Z141)+SUM(AA130:AA141)</f>
        <v>182.85</v>
      </c>
    </row>
    <row r="139" spans="1:12" ht="14.25">
      <c r="A139" s="74"/>
      <c r="B139" s="74" t="s">
        <v>100</v>
      </c>
      <c r="C139" s="74" t="s">
        <v>459</v>
      </c>
      <c r="D139" s="56" t="s">
        <v>438</v>
      </c>
      <c r="E139" s="57">
        <f>Source!BZ53</f>
        <v>112</v>
      </c>
      <c r="F139" s="57"/>
      <c r="G139" s="57">
        <f>Source!AT53</f>
        <v>112</v>
      </c>
      <c r="H139" s="49"/>
      <c r="I139" s="58"/>
      <c r="J139" s="49">
        <f>SUM(AG130:AG141)</f>
        <v>5.49</v>
      </c>
      <c r="K139" s="58"/>
      <c r="L139" s="49">
        <f>SUM(AH130:AH141)</f>
        <v>204.79</v>
      </c>
    </row>
    <row r="140" spans="1:12" ht="28.5">
      <c r="A140" s="76"/>
      <c r="B140" s="76" t="s">
        <v>460</v>
      </c>
      <c r="C140" s="76" t="s">
        <v>461</v>
      </c>
      <c r="D140" s="60" t="s">
        <v>438</v>
      </c>
      <c r="E140" s="61">
        <f>Source!CA53</f>
        <v>65</v>
      </c>
      <c r="F140" s="61">
        <f>ROUND(0.85,7)</f>
        <v>0.85</v>
      </c>
      <c r="G140" s="61">
        <f>Source!AU53</f>
        <v>55.25</v>
      </c>
      <c r="H140" s="62"/>
      <c r="I140" s="63"/>
      <c r="J140" s="62">
        <f>SUM(AI130:AI141)</f>
        <v>2.71</v>
      </c>
      <c r="K140" s="63"/>
      <c r="L140" s="62">
        <f>SUM(AJ130:AJ141)</f>
        <v>101.02</v>
      </c>
    </row>
    <row r="141" spans="3:53" ht="15">
      <c r="C141" s="117" t="s">
        <v>440</v>
      </c>
      <c r="D141" s="117"/>
      <c r="E141" s="117"/>
      <c r="F141" s="117"/>
      <c r="G141" s="117"/>
      <c r="H141" s="117"/>
      <c r="I141" s="117">
        <f>J133+J134+J139+J140+SUM(J137:J137)</f>
        <v>86.64</v>
      </c>
      <c r="J141" s="117"/>
      <c r="K141" s="117">
        <f>L133+L134+L139+L140+SUM(L137:L137)</f>
        <v>982.84</v>
      </c>
      <c r="L141" s="117"/>
      <c r="O141" s="48">
        <f>I141</f>
        <v>86.64</v>
      </c>
      <c r="P141" s="48">
        <f>K141</f>
        <v>982.84</v>
      </c>
      <c r="Q141" s="48">
        <f>J133</f>
        <v>4.9</v>
      </c>
      <c r="R141" s="48">
        <f>J133</f>
        <v>4.9</v>
      </c>
      <c r="U141" s="48">
        <f>L133</f>
        <v>182.85</v>
      </c>
      <c r="X141">
        <f>0</f>
        <v>0</v>
      </c>
      <c r="Z141">
        <f>0</f>
        <v>0</v>
      </c>
      <c r="AB141">
        <f>0</f>
        <v>0</v>
      </c>
      <c r="AD141">
        <f>0</f>
        <v>0</v>
      </c>
      <c r="AF141" s="48">
        <f>J134</f>
        <v>2.41</v>
      </c>
      <c r="AN141">
        <f>IF(Source!BI53&lt;=1,J133+J134+J139+J140,0)</f>
        <v>15.510000000000002</v>
      </c>
      <c r="AO141">
        <f>IF(Source!BI53&lt;=1,J134,0)</f>
        <v>2.41</v>
      </c>
      <c r="AP141">
        <f>IF(Source!BI53&lt;=1,0,0)</f>
        <v>0</v>
      </c>
      <c r="AQ141">
        <f>IF(Source!BI53&lt;=1,J133,0)</f>
        <v>4.9</v>
      </c>
      <c r="AX141">
        <f>IF(Source!BI53=2,J133+J134+J139+J140,0)</f>
        <v>0</v>
      </c>
      <c r="AY141">
        <f>IF(Source!BI53=2,J134,0)</f>
        <v>0</v>
      </c>
      <c r="AZ141">
        <f>IF(Source!BI53=2,0,0)</f>
        <v>0</v>
      </c>
      <c r="BA141">
        <f>IF(Source!BI53=2,J133,0)</f>
        <v>0</v>
      </c>
    </row>
    <row r="142" spans="1:56" ht="146.25">
      <c r="A142" s="74">
        <v>8</v>
      </c>
      <c r="B142" s="74" t="s">
        <v>462</v>
      </c>
      <c r="C142" s="74" t="s">
        <v>463</v>
      </c>
      <c r="D142" s="56" t="str">
        <f>Source!DW57</f>
        <v>100 м2</v>
      </c>
      <c r="E142" s="57">
        <f>Source!K57</f>
        <v>0.0638</v>
      </c>
      <c r="F142" s="57"/>
      <c r="G142" s="57">
        <f>Source!I57</f>
        <v>0.0638</v>
      </c>
      <c r="H142" s="49"/>
      <c r="I142" s="58"/>
      <c r="J142" s="49"/>
      <c r="K142" s="58"/>
      <c r="L142" s="49"/>
      <c r="AG142">
        <f>ROUND((Source!AT57/100)*((ROUND(Source!AF57*Source!I57,2)+ROUND(Source!AE57*Source!I57,2))),2)</f>
        <v>71.26</v>
      </c>
      <c r="AH142">
        <f>Source!X57</f>
        <v>2660.8</v>
      </c>
      <c r="AI142">
        <f>ROUND((Source!AU57/100)*((ROUND(Source!AF57*Source!I57,2)+ROUND(Source!AE57*Source!I57,2))),2)</f>
        <v>30.85</v>
      </c>
      <c r="AJ142">
        <f>Source!Y57</f>
        <v>1151.78</v>
      </c>
      <c r="AS142">
        <f>IF(Source!BI57&lt;=1,AH142,0)</f>
        <v>2660.8</v>
      </c>
      <c r="AT142">
        <f>IF(Source!BI57&lt;=1,AJ142,0)</f>
        <v>1151.78</v>
      </c>
      <c r="BC142">
        <f>IF(Source!BI57=2,AH142,0)</f>
        <v>0</v>
      </c>
      <c r="BD142">
        <f>IF(Source!BI57=2,AJ142,0)</f>
        <v>0</v>
      </c>
    </row>
    <row r="143" ht="38.25">
      <c r="B143" s="45" t="str">
        <f>Source!EO57</f>
        <v>Поправка: М-ка 421/пр 04.08.20 п.58 п.п. б)</v>
      </c>
    </row>
    <row r="144" ht="12.75">
      <c r="C144" s="46" t="str">
        <f>"Объем: "&amp;Source!K57&amp;"=6,38/"&amp;"100"</f>
        <v>Объем: 0,0638=6,38/100</v>
      </c>
    </row>
    <row r="145" spans="1:12" ht="14.25">
      <c r="A145" s="74"/>
      <c r="B145" s="75">
        <v>1</v>
      </c>
      <c r="C145" s="74" t="s">
        <v>429</v>
      </c>
      <c r="D145" s="56"/>
      <c r="E145" s="57"/>
      <c r="F145" s="57"/>
      <c r="G145" s="57"/>
      <c r="H145" s="49">
        <f>Source!AO57</f>
        <v>752.94</v>
      </c>
      <c r="I145" s="58">
        <f>ROUND(1.15,7)</f>
        <v>1.15</v>
      </c>
      <c r="J145" s="49">
        <f>ROUND(Source!AF57*Source!I57,2)</f>
        <v>55.24</v>
      </c>
      <c r="K145" s="58">
        <f>IF(Source!BA57&lt;&gt;0,Source!BA57,1)</f>
        <v>37.34</v>
      </c>
      <c r="L145" s="49">
        <f>Source!S57</f>
        <v>2062.78</v>
      </c>
    </row>
    <row r="146" spans="1:12" ht="14.25">
      <c r="A146" s="74"/>
      <c r="B146" s="75">
        <v>3</v>
      </c>
      <c r="C146" s="74" t="s">
        <v>430</v>
      </c>
      <c r="D146" s="56"/>
      <c r="E146" s="57"/>
      <c r="F146" s="57"/>
      <c r="G146" s="57"/>
      <c r="H146" s="49">
        <f>Source!AM57</f>
        <v>881.96</v>
      </c>
      <c r="I146" s="58">
        <f>ROUND(1.25,7)</f>
        <v>1.25</v>
      </c>
      <c r="J146" s="49">
        <f>ROUND(((((Source!ET57*ROUND(1.25,7)))-((Source!EU57*ROUND(1.25,7))))+Source!AE57)*Source!I57,2)</f>
        <v>70.34</v>
      </c>
      <c r="K146" s="58">
        <f>IF(Source!BB57&lt;&gt;0,Source!BB57,1)</f>
        <v>13.24</v>
      </c>
      <c r="L146" s="49">
        <f>Source!Q57</f>
        <v>931.26</v>
      </c>
    </row>
    <row r="147" spans="1:12" ht="14.25">
      <c r="A147" s="74"/>
      <c r="B147" s="75">
        <v>2</v>
      </c>
      <c r="C147" s="74" t="s">
        <v>431</v>
      </c>
      <c r="D147" s="56"/>
      <c r="E147" s="57"/>
      <c r="F147" s="57"/>
      <c r="G147" s="57"/>
      <c r="H147" s="49">
        <f>Source!AN57</f>
        <v>134.63</v>
      </c>
      <c r="I147" s="58">
        <f>ROUND(1.25,7)</f>
        <v>1.25</v>
      </c>
      <c r="J147" s="59">
        <f>ROUND(Source!AE57*Source!I57,2)</f>
        <v>10.74</v>
      </c>
      <c r="K147" s="58">
        <f>IF(Source!BS57&lt;&gt;0,Source!BS57,1)</f>
        <v>37.34</v>
      </c>
      <c r="L147" s="59">
        <f>Source!R57</f>
        <v>400.92</v>
      </c>
    </row>
    <row r="148" spans="1:12" ht="14.25">
      <c r="A148" s="74"/>
      <c r="B148" s="75">
        <v>4</v>
      </c>
      <c r="C148" s="74" t="s">
        <v>446</v>
      </c>
      <c r="D148" s="56"/>
      <c r="E148" s="57"/>
      <c r="F148" s="57"/>
      <c r="G148" s="57"/>
      <c r="H148" s="49">
        <f>Source!AL57</f>
        <v>1402.15</v>
      </c>
      <c r="I148" s="58"/>
      <c r="J148" s="49">
        <f>ROUND(Source!AC57*Source!I57,2)</f>
        <v>89.46</v>
      </c>
      <c r="K148" s="58">
        <f>IF(Source!BC57&lt;&gt;0,Source!BC57,1)</f>
        <v>6.72</v>
      </c>
      <c r="L148" s="49">
        <f>Source!P57</f>
        <v>601.15</v>
      </c>
    </row>
    <row r="149" spans="1:12" ht="14.25">
      <c r="A149" s="74"/>
      <c r="B149" s="74"/>
      <c r="C149" s="74" t="s">
        <v>432</v>
      </c>
      <c r="D149" s="56" t="s">
        <v>433</v>
      </c>
      <c r="E149" s="57">
        <f>Source!AQ57</f>
        <v>80.1</v>
      </c>
      <c r="F149" s="57">
        <f>ROUND(1.15,7)</f>
        <v>1.15</v>
      </c>
      <c r="G149" s="112">
        <f>ROUND(Source!U57,7)</f>
        <v>5.876937</v>
      </c>
      <c r="H149" s="49"/>
      <c r="I149" s="58"/>
      <c r="J149" s="49"/>
      <c r="K149" s="58"/>
      <c r="L149" s="49"/>
    </row>
    <row r="150" spans="1:12" ht="14.25">
      <c r="A150" s="74"/>
      <c r="B150" s="74"/>
      <c r="C150" s="76" t="s">
        <v>434</v>
      </c>
      <c r="D150" s="60" t="s">
        <v>433</v>
      </c>
      <c r="E150" s="61">
        <f>Source!AR57</f>
        <v>10.24</v>
      </c>
      <c r="F150" s="61">
        <f>ROUND(1.25,7)</f>
        <v>1.25</v>
      </c>
      <c r="G150" s="113">
        <f>ROUND(Source!V57,7)</f>
        <v>0.81664</v>
      </c>
      <c r="H150" s="62"/>
      <c r="I150" s="63"/>
      <c r="J150" s="62"/>
      <c r="K150" s="63"/>
      <c r="L150" s="62"/>
    </row>
    <row r="151" spans="1:12" ht="14.25">
      <c r="A151" s="74"/>
      <c r="B151" s="74"/>
      <c r="C151" s="74" t="s">
        <v>435</v>
      </c>
      <c r="D151" s="56"/>
      <c r="E151" s="57"/>
      <c r="F151" s="57"/>
      <c r="G151" s="57"/>
      <c r="H151" s="49">
        <f>H145+H146+H148</f>
        <v>3037.05</v>
      </c>
      <c r="I151" s="58"/>
      <c r="J151" s="49">
        <f>J145+J146+J148</f>
        <v>215.04000000000002</v>
      </c>
      <c r="K151" s="58"/>
      <c r="L151" s="49">
        <f>L145+L146+L148</f>
        <v>3595.19</v>
      </c>
    </row>
    <row r="152" spans="1:56" ht="114">
      <c r="A152" s="74" t="s">
        <v>114</v>
      </c>
      <c r="B152" s="74" t="s">
        <v>566</v>
      </c>
      <c r="C152" s="74" t="str">
        <f>Source!G59</f>
        <v>Дверной блок светопрозрачный, распашной двустворчатый (1450*2200 мм) из теплого алюминиевого профиля Realit RI 50 и RF 50 с двухкамерным стеклопакетом  6зак+20+6 зак, петли Wala 3 шт на створку, ручка скоба 300-350, замок ключ+ключ стационарный порог 14 мм, EIW15)</v>
      </c>
      <c r="D152" s="56" t="str">
        <f>Source!DW59</f>
        <v>КОМП</v>
      </c>
      <c r="E152" s="112">
        <f>SmtRes!AT110</f>
        <v>31.347962</v>
      </c>
      <c r="F152" s="57"/>
      <c r="G152" s="57">
        <f>Source!I59</f>
        <v>2</v>
      </c>
      <c r="H152" s="49">
        <f>Source!AL59+Source!AO59+Source!AM59</f>
        <v>128480</v>
      </c>
      <c r="I152" s="58"/>
      <c r="J152" s="49">
        <f>ROUND(Source!AC59*Source!I59,2)+ROUND((((Source!ET59)-(Source!EU59))+Source!AE59)*Source!I59,2)+ROUND(Source!AF59*Source!I59,2)</f>
        <v>256960</v>
      </c>
      <c r="K152" s="58">
        <v>1</v>
      </c>
      <c r="L152" s="49">
        <f>K152*J152</f>
        <v>256960</v>
      </c>
      <c r="AF152" s="48">
        <f>J152</f>
        <v>256960</v>
      </c>
      <c r="AG152">
        <f>ROUND((Source!AT59/100)*((ROUND(Source!AF59*Source!I59,2)+ROUND(Source!AE59*Source!I59,2))),2)</f>
        <v>0</v>
      </c>
      <c r="AH152">
        <f>Source!X59</f>
        <v>0</v>
      </c>
      <c r="AI152">
        <f>ROUND((Source!AU59/100)*((ROUND(Source!AF59*Source!I59,2)+ROUND(Source!AE59*Source!I59,2))),2)</f>
        <v>0</v>
      </c>
      <c r="AJ152">
        <f>Source!Y59</f>
        <v>0</v>
      </c>
      <c r="AN152">
        <f>IF(Source!BI59&lt;=1,J152,0)</f>
        <v>0</v>
      </c>
      <c r="AO152">
        <f>IF(Source!BI59&lt;=1,J152,0)</f>
        <v>0</v>
      </c>
      <c r="AS152">
        <f>IF(Source!BI59&lt;=1,AH152,0)</f>
        <v>0</v>
      </c>
      <c r="AT152">
        <f>IF(Source!BI59&lt;=1,AJ152,0)</f>
        <v>0</v>
      </c>
      <c r="AX152">
        <f>IF(Source!BI59=2,J152,0)</f>
        <v>256960</v>
      </c>
      <c r="AY152">
        <f>IF(Source!BI59=2,J152,0)</f>
        <v>256960</v>
      </c>
      <c r="BC152">
        <f>IF(Source!BI59=2,AH152,0)</f>
        <v>0</v>
      </c>
      <c r="BD152">
        <f>IF(Source!BI59=2,AJ152,0)</f>
        <v>0</v>
      </c>
    </row>
    <row r="153" spans="1:12" ht="14.25">
      <c r="A153" s="74"/>
      <c r="B153" s="74"/>
      <c r="C153" s="74" t="s">
        <v>436</v>
      </c>
      <c r="D153" s="56"/>
      <c r="E153" s="57"/>
      <c r="F153" s="57"/>
      <c r="G153" s="57"/>
      <c r="H153" s="49"/>
      <c r="I153" s="58"/>
      <c r="J153" s="49">
        <f>SUM(Q142:Q156)+SUM(V142:V156)+SUM(X142:X156)+SUM(Y142:Y156)</f>
        <v>65.98</v>
      </c>
      <c r="K153" s="58"/>
      <c r="L153" s="49">
        <f>SUM(U142:U156)+SUM(W142:W156)+SUM(Z142:Z156)+SUM(AA142:AA156)</f>
        <v>2463.7000000000003</v>
      </c>
    </row>
    <row r="154" spans="1:12" ht="14.25">
      <c r="A154" s="74"/>
      <c r="B154" s="74" t="s">
        <v>112</v>
      </c>
      <c r="C154" s="74" t="s">
        <v>464</v>
      </c>
      <c r="D154" s="56" t="s">
        <v>438</v>
      </c>
      <c r="E154" s="57">
        <f>Source!BZ57</f>
        <v>108</v>
      </c>
      <c r="F154" s="57"/>
      <c r="G154" s="57">
        <f>Source!AT57</f>
        <v>108</v>
      </c>
      <c r="H154" s="49"/>
      <c r="I154" s="58"/>
      <c r="J154" s="49">
        <f>SUM(AG142:AG156)</f>
        <v>71.26</v>
      </c>
      <c r="K154" s="58"/>
      <c r="L154" s="49">
        <f>SUM(AH142:AH156)</f>
        <v>2660.8</v>
      </c>
    </row>
    <row r="155" spans="1:12" ht="28.5">
      <c r="A155" s="76"/>
      <c r="B155" s="76" t="s">
        <v>465</v>
      </c>
      <c r="C155" s="76" t="s">
        <v>466</v>
      </c>
      <c r="D155" s="60" t="s">
        <v>438</v>
      </c>
      <c r="E155" s="61">
        <f>Source!CA57</f>
        <v>55</v>
      </c>
      <c r="F155" s="61">
        <f>ROUND(0.85,7)</f>
        <v>0.85</v>
      </c>
      <c r="G155" s="61">
        <f>Source!AU57</f>
        <v>46.75</v>
      </c>
      <c r="H155" s="62"/>
      <c r="I155" s="63"/>
      <c r="J155" s="62">
        <f>SUM(AI142:AI156)</f>
        <v>30.85</v>
      </c>
      <c r="K155" s="63"/>
      <c r="L155" s="62">
        <f>SUM(AJ142:AJ156)</f>
        <v>1151.78</v>
      </c>
    </row>
    <row r="156" spans="3:53" ht="15">
      <c r="C156" s="117" t="s">
        <v>440</v>
      </c>
      <c r="D156" s="117"/>
      <c r="E156" s="117"/>
      <c r="F156" s="117"/>
      <c r="G156" s="117"/>
      <c r="H156" s="117"/>
      <c r="I156" s="117">
        <f>J145+J146+J148+J154+J155+SUM(J152:J152)</f>
        <v>257277.15</v>
      </c>
      <c r="J156" s="117"/>
      <c r="K156" s="117">
        <f>L145+L146+L148+L154+L155+SUM(L152:L152)</f>
        <v>264367.77</v>
      </c>
      <c r="L156" s="117"/>
      <c r="O156" s="48">
        <f>I156</f>
        <v>257277.15</v>
      </c>
      <c r="P156" s="48">
        <f>K156</f>
        <v>264367.77</v>
      </c>
      <c r="Q156" s="48">
        <f>J145</f>
        <v>55.24</v>
      </c>
      <c r="R156" s="48">
        <f>J145</f>
        <v>55.24</v>
      </c>
      <c r="U156" s="48">
        <f>L145</f>
        <v>2062.78</v>
      </c>
      <c r="X156" s="48">
        <f>J147</f>
        <v>10.74</v>
      </c>
      <c r="Z156" s="48">
        <f>L147</f>
        <v>400.92</v>
      </c>
      <c r="AB156" s="48">
        <f>J146</f>
        <v>70.34</v>
      </c>
      <c r="AD156" s="48">
        <f>L146</f>
        <v>931.26</v>
      </c>
      <c r="AF156" s="48">
        <f>J148</f>
        <v>89.46</v>
      </c>
      <c r="AN156">
        <f>IF(Source!BI57&lt;=1,J145+J146+J148+J154+J155,0)</f>
        <v>317.15000000000003</v>
      </c>
      <c r="AO156">
        <f>IF(Source!BI57&lt;=1,J148,0)</f>
        <v>89.46</v>
      </c>
      <c r="AP156">
        <f>IF(Source!BI57&lt;=1,J146,0)</f>
        <v>70.34</v>
      </c>
      <c r="AQ156">
        <f>IF(Source!BI57&lt;=1,J145,0)</f>
        <v>55.24</v>
      </c>
      <c r="AX156">
        <f>IF(Source!BI57=2,J145+J146+J148+J154+J155,0)</f>
        <v>0</v>
      </c>
      <c r="AY156">
        <f>IF(Source!BI57=2,J148,0)</f>
        <v>0</v>
      </c>
      <c r="AZ156">
        <f>IF(Source!BI57=2,J146,0)</f>
        <v>0</v>
      </c>
      <c r="BA156">
        <f>IF(Source!BI57=2,J145,0)</f>
        <v>0</v>
      </c>
    </row>
    <row r="157" spans="1:56" ht="103.5">
      <c r="A157" s="74">
        <v>9</v>
      </c>
      <c r="B157" s="74" t="s">
        <v>467</v>
      </c>
      <c r="C157" s="74" t="s">
        <v>468</v>
      </c>
      <c r="D157" s="56" t="str">
        <f>Source!DW61</f>
        <v>100 ШТ</v>
      </c>
      <c r="E157" s="57">
        <f>Source!K61</f>
        <v>0.02</v>
      </c>
      <c r="F157" s="57"/>
      <c r="G157" s="57">
        <f>Source!I61</f>
        <v>0.02</v>
      </c>
      <c r="H157" s="49"/>
      <c r="I157" s="58"/>
      <c r="J157" s="49"/>
      <c r="K157" s="58"/>
      <c r="L157" s="49"/>
      <c r="AG157">
        <f>ROUND((Source!AT61/100)*((ROUND(Source!AF61*Source!I61,2)+ROUND(Source!AE61*Source!I61,2))),2)</f>
        <v>6.33</v>
      </c>
      <c r="AH157">
        <f>Source!X61</f>
        <v>236.1</v>
      </c>
      <c r="AI157">
        <f>ROUND((Source!AU61/100)*((ROUND(Source!AF61*Source!I61,2)+ROUND(Source!AE61*Source!I61,2))),2)</f>
        <v>2.74</v>
      </c>
      <c r="AJ157">
        <f>Source!Y61</f>
        <v>102.2</v>
      </c>
      <c r="AS157">
        <f>IF(Source!BI61&lt;=1,AH157,0)</f>
        <v>236.1</v>
      </c>
      <c r="AT157">
        <f>IF(Source!BI61&lt;=1,AJ157,0)</f>
        <v>102.2</v>
      </c>
      <c r="BC157">
        <f>IF(Source!BI61=2,AH157,0)</f>
        <v>0</v>
      </c>
      <c r="BD157">
        <f>IF(Source!BI61=2,AJ157,0)</f>
        <v>0</v>
      </c>
    </row>
    <row r="158" ht="38.25">
      <c r="B158" s="45" t="str">
        <f>Source!EO61</f>
        <v>Поправка: М-ка 421/пр 04.08.20 п.58 п.п. б)</v>
      </c>
    </row>
    <row r="159" ht="12.75">
      <c r="C159" s="46" t="str">
        <f>"Объем: "&amp;Source!K61&amp;"=2/"&amp;"100"</f>
        <v>Объем: 0,02=2/100</v>
      </c>
    </row>
    <row r="160" spans="1:12" ht="14.25">
      <c r="A160" s="74"/>
      <c r="B160" s="75">
        <v>1</v>
      </c>
      <c r="C160" s="74" t="s">
        <v>429</v>
      </c>
      <c r="D160" s="56"/>
      <c r="E160" s="57"/>
      <c r="F160" s="57"/>
      <c r="G160" s="57"/>
      <c r="H160" s="49">
        <f>Source!AO61</f>
        <v>252.59</v>
      </c>
      <c r="I160" s="58">
        <f>ROUND(1.15,7)</f>
        <v>1.15</v>
      </c>
      <c r="J160" s="49">
        <f>ROUND(Source!AF61*Source!I61,2)</f>
        <v>5.81</v>
      </c>
      <c r="K160" s="58">
        <f>IF(Source!BA61&lt;&gt;0,Source!BA61,1)</f>
        <v>37.34</v>
      </c>
      <c r="L160" s="49">
        <f>Source!S61</f>
        <v>216.93</v>
      </c>
    </row>
    <row r="161" spans="1:12" ht="14.25">
      <c r="A161" s="74"/>
      <c r="B161" s="75">
        <v>3</v>
      </c>
      <c r="C161" s="74" t="s">
        <v>430</v>
      </c>
      <c r="D161" s="56"/>
      <c r="E161" s="57"/>
      <c r="F161" s="57"/>
      <c r="G161" s="57"/>
      <c r="H161" s="49">
        <f>Source!AM61</f>
        <v>13.68</v>
      </c>
      <c r="I161" s="58">
        <f>ROUND(1.25,7)</f>
        <v>1.25</v>
      </c>
      <c r="J161" s="49">
        <f>ROUND(((((Source!ET61*ROUND(1.25,7)))-((Source!EU61*ROUND(1.25,7))))+Source!AE61)*Source!I61,2)</f>
        <v>0.34</v>
      </c>
      <c r="K161" s="58">
        <f>IF(Source!BB61&lt;&gt;0,Source!BB61,1)</f>
        <v>13.24</v>
      </c>
      <c r="L161" s="49">
        <f>Source!Q61</f>
        <v>4.53</v>
      </c>
    </row>
    <row r="162" spans="1:12" ht="14.25">
      <c r="A162" s="74"/>
      <c r="B162" s="75">
        <v>2</v>
      </c>
      <c r="C162" s="74" t="s">
        <v>431</v>
      </c>
      <c r="D162" s="56"/>
      <c r="E162" s="57"/>
      <c r="F162" s="57"/>
      <c r="G162" s="57"/>
      <c r="H162" s="49">
        <f>Source!AN61</f>
        <v>1.8</v>
      </c>
      <c r="I162" s="58">
        <f>ROUND(1.25,7)</f>
        <v>1.25</v>
      </c>
      <c r="J162" s="59">
        <f>ROUND(Source!AE61*Source!I61,2)</f>
        <v>0.05</v>
      </c>
      <c r="K162" s="58">
        <f>IF(Source!BS61&lt;&gt;0,Source!BS61,1)</f>
        <v>37.34</v>
      </c>
      <c r="L162" s="59">
        <f>Source!R61</f>
        <v>1.68</v>
      </c>
    </row>
    <row r="163" spans="1:12" ht="14.25">
      <c r="A163" s="74"/>
      <c r="B163" s="75">
        <v>4</v>
      </c>
      <c r="C163" s="74" t="s">
        <v>446</v>
      </c>
      <c r="D163" s="56"/>
      <c r="E163" s="57"/>
      <c r="F163" s="57"/>
      <c r="G163" s="57"/>
      <c r="H163" s="49">
        <f>Source!AL61</f>
        <v>2.2</v>
      </c>
      <c r="I163" s="58"/>
      <c r="J163" s="49">
        <f>ROUND(Source!AC61*Source!I61,2)</f>
        <v>0.04</v>
      </c>
      <c r="K163" s="58">
        <f>IF(Source!BC61&lt;&gt;0,Source!BC61,1)</f>
        <v>6.72</v>
      </c>
      <c r="L163" s="49">
        <f>Source!P61</f>
        <v>0.3</v>
      </c>
    </row>
    <row r="164" spans="1:12" ht="14.25">
      <c r="A164" s="74"/>
      <c r="B164" s="74"/>
      <c r="C164" s="74" t="s">
        <v>432</v>
      </c>
      <c r="D164" s="56" t="s">
        <v>433</v>
      </c>
      <c r="E164" s="57">
        <f>Source!AQ61</f>
        <v>26.56</v>
      </c>
      <c r="F164" s="57">
        <f>ROUND(1.15,7)</f>
        <v>1.15</v>
      </c>
      <c r="G164" s="112">
        <f>ROUND(Source!U61,7)</f>
        <v>0.61088</v>
      </c>
      <c r="H164" s="49"/>
      <c r="I164" s="58"/>
      <c r="J164" s="49"/>
      <c r="K164" s="58"/>
      <c r="L164" s="49"/>
    </row>
    <row r="165" spans="1:12" ht="14.25">
      <c r="A165" s="74"/>
      <c r="B165" s="74"/>
      <c r="C165" s="76" t="s">
        <v>434</v>
      </c>
      <c r="D165" s="60" t="s">
        <v>433</v>
      </c>
      <c r="E165" s="61">
        <f>Source!AR61</f>
        <v>0.14</v>
      </c>
      <c r="F165" s="61">
        <f>ROUND(1.25,7)</f>
        <v>1.25</v>
      </c>
      <c r="G165" s="114">
        <f>ROUND(Source!V61,7)</f>
        <v>0.0035</v>
      </c>
      <c r="H165" s="62"/>
      <c r="I165" s="63"/>
      <c r="J165" s="62"/>
      <c r="K165" s="63"/>
      <c r="L165" s="62"/>
    </row>
    <row r="166" spans="1:12" ht="14.25">
      <c r="A166" s="74"/>
      <c r="B166" s="74"/>
      <c r="C166" s="74" t="s">
        <v>435</v>
      </c>
      <c r="D166" s="56"/>
      <c r="E166" s="57"/>
      <c r="F166" s="57"/>
      <c r="G166" s="57"/>
      <c r="H166" s="49">
        <f>H160+H161+H163</f>
        <v>268.46999999999997</v>
      </c>
      <c r="I166" s="58"/>
      <c r="J166" s="49">
        <f>J160+J161+J163</f>
        <v>6.1899999999999995</v>
      </c>
      <c r="K166" s="58"/>
      <c r="L166" s="49">
        <f>L160+L161+L163</f>
        <v>221.76000000000002</v>
      </c>
    </row>
    <row r="167" spans="1:12" ht="14.25">
      <c r="A167" s="74"/>
      <c r="B167" s="74"/>
      <c r="C167" s="74" t="s">
        <v>436</v>
      </c>
      <c r="D167" s="56"/>
      <c r="E167" s="57"/>
      <c r="F167" s="57"/>
      <c r="G167" s="57"/>
      <c r="H167" s="49"/>
      <c r="I167" s="58"/>
      <c r="J167" s="49">
        <f>SUM(Q157:Q170)+SUM(V157:V170)+SUM(X157:X170)+SUM(Y157:Y170)</f>
        <v>5.859999999999999</v>
      </c>
      <c r="K167" s="58"/>
      <c r="L167" s="49">
        <f>SUM(U157:U170)+SUM(W157:W170)+SUM(Z157:Z170)+SUM(AA157:AA170)</f>
        <v>218.61</v>
      </c>
    </row>
    <row r="168" spans="1:12" ht="14.25">
      <c r="A168" s="74"/>
      <c r="B168" s="74" t="s">
        <v>112</v>
      </c>
      <c r="C168" s="74" t="s">
        <v>464</v>
      </c>
      <c r="D168" s="56" t="s">
        <v>438</v>
      </c>
      <c r="E168" s="57">
        <f>Source!BZ61</f>
        <v>108</v>
      </c>
      <c r="F168" s="57"/>
      <c r="G168" s="57">
        <f>Source!AT61</f>
        <v>108</v>
      </c>
      <c r="H168" s="49"/>
      <c r="I168" s="58"/>
      <c r="J168" s="49">
        <f>SUM(AG157:AG170)</f>
        <v>6.33</v>
      </c>
      <c r="K168" s="58"/>
      <c r="L168" s="49">
        <f>SUM(AH157:AH170)</f>
        <v>236.1</v>
      </c>
    </row>
    <row r="169" spans="1:12" ht="28.5">
      <c r="A169" s="76"/>
      <c r="B169" s="76" t="s">
        <v>465</v>
      </c>
      <c r="C169" s="76" t="s">
        <v>466</v>
      </c>
      <c r="D169" s="60" t="s">
        <v>438</v>
      </c>
      <c r="E169" s="61">
        <f>Source!CA61</f>
        <v>55</v>
      </c>
      <c r="F169" s="61">
        <f>ROUND(0.85,7)</f>
        <v>0.85</v>
      </c>
      <c r="G169" s="61">
        <f>Source!AU61</f>
        <v>46.75</v>
      </c>
      <c r="H169" s="62"/>
      <c r="I169" s="63"/>
      <c r="J169" s="62">
        <f>SUM(AI157:AI170)</f>
        <v>2.74</v>
      </c>
      <c r="K169" s="63"/>
      <c r="L169" s="62">
        <f>SUM(AJ157:AJ170)</f>
        <v>102.2</v>
      </c>
    </row>
    <row r="170" spans="3:53" ht="15">
      <c r="C170" s="117" t="s">
        <v>440</v>
      </c>
      <c r="D170" s="117"/>
      <c r="E170" s="117"/>
      <c r="F170" s="117"/>
      <c r="G170" s="117"/>
      <c r="H170" s="117"/>
      <c r="I170" s="117">
        <f>J160+J161+J163+J168+J169</f>
        <v>15.26</v>
      </c>
      <c r="J170" s="117"/>
      <c r="K170" s="117">
        <f>L160+L161+L163+L168+L169</f>
        <v>560.0600000000001</v>
      </c>
      <c r="L170" s="117"/>
      <c r="O170" s="48">
        <f>I170</f>
        <v>15.26</v>
      </c>
      <c r="P170" s="48">
        <f>K170</f>
        <v>560.0600000000001</v>
      </c>
      <c r="Q170" s="48">
        <f>J160</f>
        <v>5.81</v>
      </c>
      <c r="R170" s="48">
        <f>J160</f>
        <v>5.81</v>
      </c>
      <c r="U170" s="48">
        <f>L160</f>
        <v>216.93</v>
      </c>
      <c r="X170" s="48">
        <f>J162</f>
        <v>0.05</v>
      </c>
      <c r="Z170" s="48">
        <f>L162</f>
        <v>1.68</v>
      </c>
      <c r="AB170" s="48">
        <f>J161</f>
        <v>0.34</v>
      </c>
      <c r="AD170" s="48">
        <f>L161</f>
        <v>4.53</v>
      </c>
      <c r="AF170" s="48">
        <f>J163</f>
        <v>0.04</v>
      </c>
      <c r="AN170">
        <f>IF(Source!BI61&lt;=1,J160+J161+J163+J168+J169,0)</f>
        <v>15.26</v>
      </c>
      <c r="AO170">
        <f>IF(Source!BI61&lt;=1,J163,0)</f>
        <v>0.04</v>
      </c>
      <c r="AP170">
        <f>IF(Source!BI61&lt;=1,J161,0)</f>
        <v>0.34</v>
      </c>
      <c r="AQ170">
        <f>IF(Source!BI61&lt;=1,J160,0)</f>
        <v>5.81</v>
      </c>
      <c r="AX170">
        <f>IF(Source!BI61=2,J160+J161+J163+J168+J169,0)</f>
        <v>0</v>
      </c>
      <c r="AY170">
        <f>IF(Source!BI61=2,J163,0)</f>
        <v>0</v>
      </c>
      <c r="AZ170">
        <f>IF(Source!BI61=2,J161,0)</f>
        <v>0</v>
      </c>
      <c r="BA170">
        <f>IF(Source!BI61=2,J160,0)</f>
        <v>0</v>
      </c>
    </row>
    <row r="172" spans="1:95" ht="15">
      <c r="A172" s="66"/>
      <c r="B172" s="67"/>
      <c r="C172" s="118" t="s">
        <v>469</v>
      </c>
      <c r="D172" s="118"/>
      <c r="E172" s="118"/>
      <c r="F172" s="118"/>
      <c r="G172" s="118"/>
      <c r="H172" s="118"/>
      <c r="I172" s="68"/>
      <c r="J172" s="69">
        <f>J174+J175+J176+J177</f>
        <v>1333697.8599999999</v>
      </c>
      <c r="K172" s="69"/>
      <c r="L172" s="69">
        <f>L174+L175+L176+L177</f>
        <v>1419630.3900000001</v>
      </c>
      <c r="CQ172" s="79" t="s">
        <v>469</v>
      </c>
    </row>
    <row r="173" spans="1:12" ht="14.25">
      <c r="A173" s="70"/>
      <c r="B173" s="71"/>
      <c r="C173" s="116" t="s">
        <v>470</v>
      </c>
      <c r="D173" s="115"/>
      <c r="E173" s="115"/>
      <c r="F173" s="115"/>
      <c r="G173" s="115"/>
      <c r="H173" s="115"/>
      <c r="I173" s="72"/>
      <c r="J173" s="73"/>
      <c r="K173" s="73"/>
      <c r="L173" s="73"/>
    </row>
    <row r="174" spans="1:12" ht="14.25">
      <c r="A174" s="70"/>
      <c r="B174" s="71"/>
      <c r="C174" s="115" t="s">
        <v>471</v>
      </c>
      <c r="D174" s="115"/>
      <c r="E174" s="115"/>
      <c r="F174" s="115"/>
      <c r="G174" s="115"/>
      <c r="H174" s="115"/>
      <c r="I174" s="72"/>
      <c r="J174" s="73">
        <f>SUM(Q48:Q170)</f>
        <v>1938.1299999999999</v>
      </c>
      <c r="K174" s="73"/>
      <c r="L174" s="73">
        <f>SUM(U48:U170)</f>
        <v>72369.67</v>
      </c>
    </row>
    <row r="175" spans="1:12" ht="14.25">
      <c r="A175" s="70"/>
      <c r="B175" s="71"/>
      <c r="C175" s="115" t="s">
        <v>472</v>
      </c>
      <c r="D175" s="115"/>
      <c r="E175" s="115"/>
      <c r="F175" s="115"/>
      <c r="G175" s="115"/>
      <c r="H175" s="115"/>
      <c r="I175" s="72"/>
      <c r="J175" s="73">
        <f>SUM(AB48:AB170)</f>
        <v>477.61999999999995</v>
      </c>
      <c r="K175" s="73"/>
      <c r="L175" s="73">
        <f>SUM(AD48:AD170)</f>
        <v>6323.679999999999</v>
      </c>
    </row>
    <row r="176" spans="1:12" ht="14.25">
      <c r="A176" s="70"/>
      <c r="B176" s="71"/>
      <c r="C176" s="115" t="s">
        <v>473</v>
      </c>
      <c r="D176" s="115"/>
      <c r="E176" s="115"/>
      <c r="F176" s="115"/>
      <c r="G176" s="115"/>
      <c r="H176" s="115"/>
      <c r="I176" s="72"/>
      <c r="J176" s="73">
        <f>SUM(AF48:AF170)-J181</f>
        <v>1331282.1099999999</v>
      </c>
      <c r="K176" s="73"/>
      <c r="L176" s="73">
        <f>Source!P66-L181</f>
        <v>1340937.04</v>
      </c>
    </row>
    <row r="177" spans="1:12" ht="13.5" customHeight="1" hidden="1">
      <c r="A177" s="70"/>
      <c r="B177" s="71"/>
      <c r="C177" s="115" t="s">
        <v>474</v>
      </c>
      <c r="D177" s="115"/>
      <c r="E177" s="115"/>
      <c r="F177" s="115"/>
      <c r="G177" s="115"/>
      <c r="H177" s="115"/>
      <c r="I177" s="72"/>
      <c r="J177" s="73">
        <f>SUM(AR48:AR170)+SUM(BB48:BB170)+SUM(BI48:BI170)+SUM(BP48:BP170)</f>
        <v>0</v>
      </c>
      <c r="K177" s="73"/>
      <c r="L177" s="73">
        <f>Source!P88</f>
        <v>0</v>
      </c>
    </row>
    <row r="178" spans="1:12" ht="14.25">
      <c r="A178" s="70"/>
      <c r="B178" s="71"/>
      <c r="C178" s="115" t="s">
        <v>475</v>
      </c>
      <c r="D178" s="115"/>
      <c r="E178" s="115"/>
      <c r="F178" s="115"/>
      <c r="G178" s="115"/>
      <c r="H178" s="115"/>
      <c r="I178" s="72"/>
      <c r="J178" s="73">
        <f>SUM(Q48:Q170)+SUM(X48:X170)</f>
        <v>2000.8899999999999</v>
      </c>
      <c r="K178" s="73"/>
      <c r="L178" s="73">
        <f>SUM(U48:U170)+SUM(Z48:Z170)</f>
        <v>74712.93</v>
      </c>
    </row>
    <row r="179" spans="1:12" ht="14.25">
      <c r="A179" s="70"/>
      <c r="B179" s="71"/>
      <c r="C179" s="115" t="s">
        <v>476</v>
      </c>
      <c r="D179" s="115"/>
      <c r="E179" s="115"/>
      <c r="F179" s="115"/>
      <c r="G179" s="115"/>
      <c r="H179" s="115"/>
      <c r="I179" s="72"/>
      <c r="J179" s="73">
        <f>SUM(AG48:AG170)</f>
        <v>1882.8600000000001</v>
      </c>
      <c r="K179" s="73"/>
      <c r="L179" s="73">
        <f>Source!P89</f>
        <v>70305.36</v>
      </c>
    </row>
    <row r="180" spans="1:12" ht="14.25">
      <c r="A180" s="70"/>
      <c r="B180" s="71"/>
      <c r="C180" s="115" t="s">
        <v>477</v>
      </c>
      <c r="D180" s="115"/>
      <c r="E180" s="115"/>
      <c r="F180" s="115"/>
      <c r="G180" s="115"/>
      <c r="H180" s="115"/>
      <c r="I180" s="72"/>
      <c r="J180" s="73">
        <f>SUM(AI48:AI170)</f>
        <v>1117.21</v>
      </c>
      <c r="K180" s="73"/>
      <c r="L180" s="73">
        <f>Source!P90</f>
        <v>41716.55</v>
      </c>
    </row>
    <row r="181" spans="1:12" ht="13.5" customHeight="1" hidden="1">
      <c r="A181" s="70"/>
      <c r="B181" s="71"/>
      <c r="C181" s="115" t="s">
        <v>478</v>
      </c>
      <c r="D181" s="115"/>
      <c r="E181" s="115"/>
      <c r="F181" s="115"/>
      <c r="G181" s="115"/>
      <c r="H181" s="115"/>
      <c r="I181" s="72"/>
      <c r="J181" s="73">
        <f>SUM(BH48:BH170)</f>
        <v>0</v>
      </c>
      <c r="K181" s="73"/>
      <c r="L181" s="73">
        <f>Source!P72</f>
        <v>0</v>
      </c>
    </row>
    <row r="182" spans="1:12" ht="13.5" customHeight="1" hidden="1">
      <c r="A182" s="70"/>
      <c r="B182" s="71"/>
      <c r="C182" s="115" t="s">
        <v>479</v>
      </c>
      <c r="D182" s="115"/>
      <c r="E182" s="115"/>
      <c r="F182" s="115"/>
      <c r="G182" s="115"/>
      <c r="H182" s="115"/>
      <c r="I182" s="72"/>
      <c r="J182" s="73">
        <f>SUM(BM48:BM170)+SUM(BN48:BN170)+SUM(BO48:BO170)+SUM(BP48:BP170)</f>
        <v>0</v>
      </c>
      <c r="K182" s="73"/>
      <c r="L182" s="73">
        <f>Source!P82</f>
        <v>0</v>
      </c>
    </row>
    <row r="183" spans="1:12" ht="15">
      <c r="A183" s="66"/>
      <c r="B183" s="67"/>
      <c r="C183" s="118" t="s">
        <v>480</v>
      </c>
      <c r="D183" s="118"/>
      <c r="E183" s="118"/>
      <c r="F183" s="118"/>
      <c r="G183" s="118"/>
      <c r="H183" s="118"/>
      <c r="I183" s="68"/>
      <c r="J183" s="69">
        <f>J172+J179+J180+J181</f>
        <v>1336697.93</v>
      </c>
      <c r="K183" s="69"/>
      <c r="L183" s="69">
        <f>Source!P91</f>
        <v>1531652.3</v>
      </c>
    </row>
    <row r="184" spans="1:12" ht="13.5" customHeight="1" hidden="1">
      <c r="A184" s="70"/>
      <c r="B184" s="71"/>
      <c r="C184" s="116" t="s">
        <v>481</v>
      </c>
      <c r="D184" s="115"/>
      <c r="E184" s="115"/>
      <c r="F184" s="115"/>
      <c r="G184" s="115"/>
      <c r="H184" s="115"/>
      <c r="I184" s="72"/>
      <c r="J184" s="73"/>
      <c r="K184" s="73"/>
      <c r="L184" s="73"/>
    </row>
    <row r="185" spans="1:12" ht="13.5" customHeight="1" hidden="1">
      <c r="A185" s="70"/>
      <c r="B185" s="71"/>
      <c r="C185" s="115" t="s">
        <v>482</v>
      </c>
      <c r="D185" s="115"/>
      <c r="E185" s="115"/>
      <c r="F185" s="115"/>
      <c r="G185" s="115"/>
      <c r="H185" s="115"/>
      <c r="I185" s="72"/>
      <c r="J185" s="73"/>
      <c r="K185" s="73"/>
      <c r="L185" s="73">
        <f>SUM(BS48:BS170)</f>
        <v>0</v>
      </c>
    </row>
    <row r="186" spans="1:12" ht="13.5" customHeight="1" hidden="1">
      <c r="A186" s="70"/>
      <c r="B186" s="71"/>
      <c r="C186" s="115" t="s">
        <v>483</v>
      </c>
      <c r="D186" s="115"/>
      <c r="E186" s="115"/>
      <c r="F186" s="115"/>
      <c r="G186" s="115"/>
      <c r="H186" s="115"/>
      <c r="I186" s="72"/>
      <c r="J186" s="73"/>
      <c r="K186" s="73"/>
      <c r="L186" s="73">
        <f>SUM(BT48:BT170)</f>
        <v>0</v>
      </c>
    </row>
    <row r="188" spans="1:12" ht="16.5">
      <c r="A188" s="119" t="s">
        <v>484</v>
      </c>
      <c r="B188" s="119"/>
      <c r="C188" s="119"/>
      <c r="D188" s="119"/>
      <c r="E188" s="119"/>
      <c r="F188" s="119"/>
      <c r="G188" s="119"/>
      <c r="H188" s="119"/>
      <c r="I188" s="119"/>
      <c r="J188" s="119"/>
      <c r="K188" s="119"/>
      <c r="L188" s="119"/>
    </row>
    <row r="189" spans="1:56" ht="42.75">
      <c r="A189" s="74">
        <v>10</v>
      </c>
      <c r="B189" s="74" t="s">
        <v>485</v>
      </c>
      <c r="C189" s="74" t="str">
        <f>Source!G99</f>
        <v>Погрузка при автомобильных перевозках мусора строительного с погрузкой вручную</v>
      </c>
      <c r="D189" s="56" t="str">
        <f>Source!DW99</f>
        <v>1 Т ГРУЗА</v>
      </c>
      <c r="E189" s="57">
        <f>Source!K99</f>
        <v>1.9</v>
      </c>
      <c r="F189" s="57"/>
      <c r="G189" s="57">
        <f>Source!I99</f>
        <v>1.9</v>
      </c>
      <c r="H189" s="49">
        <f>Source!AK99</f>
        <v>42.98</v>
      </c>
      <c r="I189" s="58"/>
      <c r="J189" s="49">
        <f>ROUND(Source!AB99*Source!I99,2)</f>
        <v>81.66</v>
      </c>
      <c r="K189" s="58">
        <f>Source!AZ99</f>
        <v>13.24</v>
      </c>
      <c r="L189" s="49">
        <f>Source!GM99</f>
        <v>1081.2</v>
      </c>
      <c r="AG189">
        <f>ROUND((Source!AT99/100)*((ROUND(0*Source!I99,2)+ROUND(0*Source!I99,2))),2)</f>
        <v>0</v>
      </c>
      <c r="AH189">
        <f>Source!X99</f>
        <v>0</v>
      </c>
      <c r="AI189">
        <f>ROUND((Source!AU99/100)*((ROUND(0*Source!I99,2)+ROUND(0*Source!I99,2))),2)</f>
        <v>0</v>
      </c>
      <c r="AJ189">
        <f>Source!Y99</f>
        <v>0</v>
      </c>
      <c r="AS189">
        <f>IF(Source!BI99&lt;=1,AH189,0)</f>
        <v>0</v>
      </c>
      <c r="AT189">
        <f>IF(Source!BI99&lt;=1,AJ189,0)</f>
        <v>0</v>
      </c>
      <c r="BC189">
        <f>IF(Source!BI99=2,AH189,0)</f>
        <v>0</v>
      </c>
      <c r="BD189">
        <f>IF(Source!BI99=2,AJ189,0)</f>
        <v>0</v>
      </c>
    </row>
    <row r="190" spans="1:12" ht="12.75">
      <c r="A190" s="50"/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50"/>
    </row>
    <row r="191" spans="3:61" ht="15">
      <c r="C191" s="117" t="s">
        <v>440</v>
      </c>
      <c r="D191" s="117"/>
      <c r="E191" s="117"/>
      <c r="F191" s="117"/>
      <c r="G191" s="117"/>
      <c r="H191" s="117"/>
      <c r="I191" s="117">
        <f>J189</f>
        <v>81.66</v>
      </c>
      <c r="J191" s="117"/>
      <c r="K191" s="117">
        <f>L189</f>
        <v>1081.2</v>
      </c>
      <c r="L191" s="117"/>
      <c r="O191" s="48">
        <f>I191</f>
        <v>81.66</v>
      </c>
      <c r="P191" s="48">
        <f>K191</f>
        <v>1081.2</v>
      </c>
      <c r="R191">
        <f>0</f>
        <v>0</v>
      </c>
      <c r="V191">
        <f>0</f>
        <v>0</v>
      </c>
      <c r="W191">
        <f>0</f>
        <v>0</v>
      </c>
      <c r="Y191">
        <f>0</f>
        <v>0</v>
      </c>
      <c r="AA191">
        <f>0</f>
        <v>0</v>
      </c>
      <c r="AC191">
        <f>0</f>
        <v>0</v>
      </c>
      <c r="AE191">
        <f>0</f>
        <v>0</v>
      </c>
      <c r="AF191">
        <f>0</f>
        <v>0</v>
      </c>
      <c r="AO191">
        <f>IF(Source!BI99&lt;=1,0,0)</f>
        <v>0</v>
      </c>
      <c r="AR191">
        <f>IF(Source!BI99&lt;=1,J189,0)</f>
        <v>81.66</v>
      </c>
      <c r="AY191">
        <f>IF(Source!BI99=2,0,0)</f>
        <v>0</v>
      </c>
      <c r="BB191">
        <f>IF(Source!BI99=2,J189,0)</f>
        <v>0</v>
      </c>
      <c r="BI191">
        <f>IF(Source!BI99=3,J189,0)</f>
        <v>0</v>
      </c>
    </row>
    <row r="192" spans="1:56" ht="57">
      <c r="A192" s="74">
        <v>11</v>
      </c>
      <c r="B192" s="74" t="s">
        <v>486</v>
      </c>
      <c r="C192" s="74" t="str">
        <f>Source!G101</f>
        <v>Перевозка грузов I класса автомобилями бортовыми грузоподъемностью до 15 т на расстояние до 50 км</v>
      </c>
      <c r="D192" s="56" t="str">
        <f>Source!DW101</f>
        <v>1 Т ГРУЗА</v>
      </c>
      <c r="E192" s="57">
        <f>Source!K101</f>
        <v>1.9</v>
      </c>
      <c r="F192" s="57"/>
      <c r="G192" s="57">
        <f>Source!I101</f>
        <v>1.9</v>
      </c>
      <c r="H192" s="49">
        <f>Source!AK101</f>
        <v>23.67</v>
      </c>
      <c r="I192" s="58"/>
      <c r="J192" s="49">
        <f>ROUND(Source!AB101*Source!I101,2)</f>
        <v>44.97</v>
      </c>
      <c r="K192" s="58">
        <f>Source!AZ101</f>
        <v>13.24</v>
      </c>
      <c r="L192" s="49">
        <f>Source!GM101</f>
        <v>595.44</v>
      </c>
      <c r="AG192">
        <f>ROUND((Source!AT101/100)*((ROUND(0*Source!I101,2)+ROUND(0*Source!I101,2))),2)</f>
        <v>0</v>
      </c>
      <c r="AH192">
        <f>Source!X101</f>
        <v>0</v>
      </c>
      <c r="AI192">
        <f>ROUND((Source!AU101/100)*((ROUND(0*Source!I101,2)+ROUND(0*Source!I101,2))),2)</f>
        <v>0</v>
      </c>
      <c r="AJ192">
        <f>Source!Y101</f>
        <v>0</v>
      </c>
      <c r="AS192">
        <f>IF(Source!BI101&lt;=1,AH192,0)</f>
        <v>0</v>
      </c>
      <c r="AT192">
        <f>IF(Source!BI101&lt;=1,AJ192,0)</f>
        <v>0</v>
      </c>
      <c r="BC192">
        <f>IF(Source!BI101=2,AH192,0)</f>
        <v>0</v>
      </c>
      <c r="BD192">
        <f>IF(Source!BI101=2,AJ192,0)</f>
        <v>0</v>
      </c>
    </row>
    <row r="193" spans="1:12" ht="12.75">
      <c r="A193" s="50"/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50"/>
    </row>
    <row r="194" spans="3:61" ht="15">
      <c r="C194" s="117" t="s">
        <v>440</v>
      </c>
      <c r="D194" s="117"/>
      <c r="E194" s="117"/>
      <c r="F194" s="117"/>
      <c r="G194" s="117"/>
      <c r="H194" s="117"/>
      <c r="I194" s="117">
        <f>J192</f>
        <v>44.97</v>
      </c>
      <c r="J194" s="117"/>
      <c r="K194" s="117">
        <f>L192</f>
        <v>595.44</v>
      </c>
      <c r="L194" s="117"/>
      <c r="O194" s="48">
        <f>I194</f>
        <v>44.97</v>
      </c>
      <c r="P194" s="48">
        <f>K194</f>
        <v>595.44</v>
      </c>
      <c r="R194">
        <f>0</f>
        <v>0</v>
      </c>
      <c r="V194">
        <f>0</f>
        <v>0</v>
      </c>
      <c r="W194">
        <f>0</f>
        <v>0</v>
      </c>
      <c r="Y194">
        <f>0</f>
        <v>0</v>
      </c>
      <c r="AA194">
        <f>0</f>
        <v>0</v>
      </c>
      <c r="AC194">
        <f>0</f>
        <v>0</v>
      </c>
      <c r="AE194">
        <f>0</f>
        <v>0</v>
      </c>
      <c r="AF194">
        <f>0</f>
        <v>0</v>
      </c>
      <c r="AO194">
        <f>IF(Source!BI101&lt;=1,0,0)</f>
        <v>0</v>
      </c>
      <c r="AR194">
        <f>IF(Source!BI101&lt;=1,J192,0)</f>
        <v>44.97</v>
      </c>
      <c r="AY194">
        <f>IF(Source!BI101=2,0,0)</f>
        <v>0</v>
      </c>
      <c r="BB194">
        <f>IF(Source!BI101=2,J192,0)</f>
        <v>0</v>
      </c>
      <c r="BI194">
        <f>IF(Source!BI101=3,J192,0)</f>
        <v>0</v>
      </c>
    </row>
    <row r="196" spans="1:95" ht="15">
      <c r="A196" s="66"/>
      <c r="B196" s="67"/>
      <c r="C196" s="118" t="s">
        <v>469</v>
      </c>
      <c r="D196" s="118"/>
      <c r="E196" s="118"/>
      <c r="F196" s="118"/>
      <c r="G196" s="118"/>
      <c r="H196" s="118"/>
      <c r="I196" s="68"/>
      <c r="J196" s="69">
        <f>J198+J199+J200+J201</f>
        <v>126.63</v>
      </c>
      <c r="K196" s="69"/>
      <c r="L196" s="69">
        <f>L198+L199+L200+L201</f>
        <v>1676.64</v>
      </c>
      <c r="CQ196" s="79" t="s">
        <v>469</v>
      </c>
    </row>
    <row r="197" spans="1:12" ht="14.25">
      <c r="A197" s="70"/>
      <c r="B197" s="71"/>
      <c r="C197" s="116" t="s">
        <v>470</v>
      </c>
      <c r="D197" s="115"/>
      <c r="E197" s="115"/>
      <c r="F197" s="115"/>
      <c r="G197" s="115"/>
      <c r="H197" s="115"/>
      <c r="I197" s="72"/>
      <c r="J197" s="73"/>
      <c r="K197" s="73"/>
      <c r="L197" s="73"/>
    </row>
    <row r="198" spans="1:12" ht="13.5" customHeight="1" hidden="1">
      <c r="A198" s="70"/>
      <c r="B198" s="71"/>
      <c r="C198" s="115" t="s">
        <v>471</v>
      </c>
      <c r="D198" s="115"/>
      <c r="E198" s="115"/>
      <c r="F198" s="115"/>
      <c r="G198" s="115"/>
      <c r="H198" s="115"/>
      <c r="I198" s="72"/>
      <c r="J198" s="73">
        <f>SUM(Q188:Q194)</f>
        <v>0</v>
      </c>
      <c r="K198" s="73"/>
      <c r="L198" s="73">
        <f>SUM(U188:U194)</f>
        <v>0</v>
      </c>
    </row>
    <row r="199" spans="1:12" ht="13.5" customHeight="1" hidden="1">
      <c r="A199" s="70"/>
      <c r="B199" s="71"/>
      <c r="C199" s="115" t="s">
        <v>472</v>
      </c>
      <c r="D199" s="115"/>
      <c r="E199" s="115"/>
      <c r="F199" s="115"/>
      <c r="G199" s="115"/>
      <c r="H199" s="115"/>
      <c r="I199" s="72"/>
      <c r="J199" s="73">
        <f>SUM(AB188:AB194)</f>
        <v>0</v>
      </c>
      <c r="K199" s="73"/>
      <c r="L199" s="73">
        <f>SUM(AD188:AD194)</f>
        <v>0</v>
      </c>
    </row>
    <row r="200" spans="1:12" ht="13.5" customHeight="1" hidden="1">
      <c r="A200" s="70"/>
      <c r="B200" s="71"/>
      <c r="C200" s="115" t="s">
        <v>473</v>
      </c>
      <c r="D200" s="115"/>
      <c r="E200" s="115"/>
      <c r="F200" s="115"/>
      <c r="G200" s="115"/>
      <c r="H200" s="115"/>
      <c r="I200" s="72"/>
      <c r="J200" s="73">
        <f>SUM(AF188:AF194)-J205</f>
        <v>0</v>
      </c>
      <c r="K200" s="73"/>
      <c r="L200" s="73">
        <f>Source!P106-L205</f>
        <v>0</v>
      </c>
    </row>
    <row r="201" spans="1:12" ht="14.25">
      <c r="A201" s="70"/>
      <c r="B201" s="71"/>
      <c r="C201" s="115" t="s">
        <v>474</v>
      </c>
      <c r="D201" s="115"/>
      <c r="E201" s="115"/>
      <c r="F201" s="115"/>
      <c r="G201" s="115"/>
      <c r="H201" s="115"/>
      <c r="I201" s="72"/>
      <c r="J201" s="73">
        <f>SUM(AR188:AR194)+SUM(BB188:BB194)+SUM(BI188:BI194)+SUM(BP188:BP194)</f>
        <v>126.63</v>
      </c>
      <c r="K201" s="73"/>
      <c r="L201" s="73">
        <f>Source!P128</f>
        <v>1676.64</v>
      </c>
    </row>
    <row r="202" spans="1:12" ht="13.5" customHeight="1" hidden="1">
      <c r="A202" s="70"/>
      <c r="B202" s="71"/>
      <c r="C202" s="115" t="s">
        <v>475</v>
      </c>
      <c r="D202" s="115"/>
      <c r="E202" s="115"/>
      <c r="F202" s="115"/>
      <c r="G202" s="115"/>
      <c r="H202" s="115"/>
      <c r="I202" s="72"/>
      <c r="J202" s="73">
        <f>SUM(Q188:Q194)+SUM(X188:X194)</f>
        <v>0</v>
      </c>
      <c r="K202" s="73"/>
      <c r="L202" s="73">
        <f>SUM(U188:U194)+SUM(Z188:Z194)</f>
        <v>0</v>
      </c>
    </row>
    <row r="203" spans="1:12" ht="13.5" customHeight="1" hidden="1">
      <c r="A203" s="70"/>
      <c r="B203" s="71"/>
      <c r="C203" s="115" t="s">
        <v>476</v>
      </c>
      <c r="D203" s="115"/>
      <c r="E203" s="115"/>
      <c r="F203" s="115"/>
      <c r="G203" s="115"/>
      <c r="H203" s="115"/>
      <c r="I203" s="72"/>
      <c r="J203" s="73">
        <f>SUM(AG188:AG194)</f>
        <v>0</v>
      </c>
      <c r="K203" s="73"/>
      <c r="L203" s="73">
        <f>Source!P129</f>
        <v>0</v>
      </c>
    </row>
    <row r="204" spans="1:12" ht="13.5" customHeight="1" hidden="1">
      <c r="A204" s="70"/>
      <c r="B204" s="71"/>
      <c r="C204" s="115" t="s">
        <v>477</v>
      </c>
      <c r="D204" s="115"/>
      <c r="E204" s="115"/>
      <c r="F204" s="115"/>
      <c r="G204" s="115"/>
      <c r="H204" s="115"/>
      <c r="I204" s="72"/>
      <c r="J204" s="73">
        <f>SUM(AI188:AI194)</f>
        <v>0</v>
      </c>
      <c r="K204" s="73"/>
      <c r="L204" s="73">
        <f>Source!P130</f>
        <v>0</v>
      </c>
    </row>
    <row r="205" spans="1:12" ht="13.5" customHeight="1" hidden="1">
      <c r="A205" s="70"/>
      <c r="B205" s="71"/>
      <c r="C205" s="115" t="s">
        <v>478</v>
      </c>
      <c r="D205" s="115"/>
      <c r="E205" s="115"/>
      <c r="F205" s="115"/>
      <c r="G205" s="115"/>
      <c r="H205" s="115"/>
      <c r="I205" s="72"/>
      <c r="J205" s="73">
        <f>SUM(BH188:BH194)</f>
        <v>0</v>
      </c>
      <c r="K205" s="73"/>
      <c r="L205" s="73">
        <f>Source!P112</f>
        <v>0</v>
      </c>
    </row>
    <row r="206" spans="1:12" ht="13.5" customHeight="1" hidden="1">
      <c r="A206" s="70"/>
      <c r="B206" s="71"/>
      <c r="C206" s="115" t="s">
        <v>479</v>
      </c>
      <c r="D206" s="115"/>
      <c r="E206" s="115"/>
      <c r="F206" s="115"/>
      <c r="G206" s="115"/>
      <c r="H206" s="115"/>
      <c r="I206" s="72"/>
      <c r="J206" s="73">
        <f>SUM(BM188:BM194)+SUM(BN188:BN194)+SUM(BO188:BO194)+SUM(BP188:BP194)</f>
        <v>0</v>
      </c>
      <c r="K206" s="73"/>
      <c r="L206" s="73">
        <f>Source!P122</f>
        <v>0</v>
      </c>
    </row>
    <row r="207" spans="1:12" ht="15">
      <c r="A207" s="66"/>
      <c r="B207" s="67"/>
      <c r="C207" s="118" t="s">
        <v>480</v>
      </c>
      <c r="D207" s="118"/>
      <c r="E207" s="118"/>
      <c r="F207" s="118"/>
      <c r="G207" s="118"/>
      <c r="H207" s="118"/>
      <c r="I207" s="68"/>
      <c r="J207" s="69">
        <f>J196+J203+J204+J205</f>
        <v>126.63</v>
      </c>
      <c r="K207" s="69"/>
      <c r="L207" s="69">
        <f>Source!P131</f>
        <v>1676.64</v>
      </c>
    </row>
    <row r="208" spans="1:12" ht="13.5" customHeight="1" hidden="1">
      <c r="A208" s="70"/>
      <c r="B208" s="71"/>
      <c r="C208" s="116" t="s">
        <v>481</v>
      </c>
      <c r="D208" s="115"/>
      <c r="E208" s="115"/>
      <c r="F208" s="115"/>
      <c r="G208" s="115"/>
      <c r="H208" s="115"/>
      <c r="I208" s="72"/>
      <c r="J208" s="73"/>
      <c r="K208" s="73"/>
      <c r="L208" s="73"/>
    </row>
    <row r="209" spans="1:12" ht="13.5" customHeight="1" hidden="1">
      <c r="A209" s="70"/>
      <c r="B209" s="71"/>
      <c r="C209" s="115" t="s">
        <v>482</v>
      </c>
      <c r="D209" s="115"/>
      <c r="E209" s="115"/>
      <c r="F209" s="115"/>
      <c r="G209" s="115"/>
      <c r="H209" s="115"/>
      <c r="I209" s="72"/>
      <c r="J209" s="73"/>
      <c r="K209" s="73"/>
      <c r="L209" s="73">
        <f>SUM(BS188:BS194)</f>
        <v>0</v>
      </c>
    </row>
    <row r="210" spans="1:12" ht="13.5" customHeight="1" hidden="1">
      <c r="A210" s="70"/>
      <c r="B210" s="71"/>
      <c r="C210" s="115" t="s">
        <v>483</v>
      </c>
      <c r="D210" s="115"/>
      <c r="E210" s="115"/>
      <c r="F210" s="115"/>
      <c r="G210" s="115"/>
      <c r="H210" s="115"/>
      <c r="I210" s="72"/>
      <c r="J210" s="73"/>
      <c r="K210" s="73"/>
      <c r="L210" s="73">
        <f>SUM(BT188:BT194)</f>
        <v>0</v>
      </c>
    </row>
    <row r="212" spans="1:12" ht="15">
      <c r="A212" s="66"/>
      <c r="B212" s="67"/>
      <c r="C212" s="118" t="s">
        <v>487</v>
      </c>
      <c r="D212" s="118"/>
      <c r="E212" s="118"/>
      <c r="F212" s="118"/>
      <c r="G212" s="118"/>
      <c r="H212" s="118"/>
      <c r="I212" s="68"/>
      <c r="J212" s="69"/>
      <c r="K212" s="69"/>
      <c r="L212" s="69"/>
    </row>
    <row r="213" spans="1:12" ht="15">
      <c r="A213" s="66"/>
      <c r="B213" s="67"/>
      <c r="C213" s="118" t="s">
        <v>488</v>
      </c>
      <c r="D213" s="118"/>
      <c r="E213" s="118"/>
      <c r="F213" s="118"/>
      <c r="G213" s="118"/>
      <c r="H213" s="118"/>
      <c r="I213" s="68"/>
      <c r="J213" s="69">
        <f>J215+J216+J217+J218</f>
        <v>1333824.4899999998</v>
      </c>
      <c r="K213" s="69"/>
      <c r="L213" s="69">
        <f>L215+L216+L217+L218</f>
        <v>1421307.03</v>
      </c>
    </row>
    <row r="214" spans="1:12" ht="14.25">
      <c r="A214" s="70"/>
      <c r="B214" s="71"/>
      <c r="C214" s="116" t="s">
        <v>470</v>
      </c>
      <c r="D214" s="115"/>
      <c r="E214" s="115"/>
      <c r="F214" s="115"/>
      <c r="G214" s="115"/>
      <c r="H214" s="115"/>
      <c r="I214" s="72"/>
      <c r="J214" s="73"/>
      <c r="K214" s="73"/>
      <c r="L214" s="73"/>
    </row>
    <row r="215" spans="1:12" ht="14.25">
      <c r="A215" s="70"/>
      <c r="B215" s="71"/>
      <c r="C215" s="115" t="s">
        <v>471</v>
      </c>
      <c r="D215" s="115"/>
      <c r="E215" s="115"/>
      <c r="F215" s="115"/>
      <c r="G215" s="115"/>
      <c r="H215" s="115"/>
      <c r="I215" s="72"/>
      <c r="J215" s="73">
        <f>SUM(Q47:Q210)</f>
        <v>1938.1299999999999</v>
      </c>
      <c r="K215" s="73"/>
      <c r="L215" s="73">
        <f>SUM(U47:U210)</f>
        <v>72369.67</v>
      </c>
    </row>
    <row r="216" spans="1:12" ht="14.25">
      <c r="A216" s="70"/>
      <c r="B216" s="71"/>
      <c r="C216" s="115" t="s">
        <v>472</v>
      </c>
      <c r="D216" s="115"/>
      <c r="E216" s="115"/>
      <c r="F216" s="115"/>
      <c r="G216" s="115"/>
      <c r="H216" s="115"/>
      <c r="I216" s="72"/>
      <c r="J216" s="73">
        <f>SUM(AB47:AB210)</f>
        <v>477.61999999999995</v>
      </c>
      <c r="K216" s="73"/>
      <c r="L216" s="73">
        <f>SUM(AD47:AD210)</f>
        <v>6323.679999999999</v>
      </c>
    </row>
    <row r="217" spans="1:12" ht="14.25">
      <c r="A217" s="70"/>
      <c r="B217" s="71"/>
      <c r="C217" s="115" t="s">
        <v>473</v>
      </c>
      <c r="D217" s="115"/>
      <c r="E217" s="115"/>
      <c r="F217" s="115"/>
      <c r="G217" s="115"/>
      <c r="H217" s="115"/>
      <c r="I217" s="72"/>
      <c r="J217" s="73">
        <f>SUM(AF47:AF210)-J222</f>
        <v>1331282.1099999999</v>
      </c>
      <c r="K217" s="73"/>
      <c r="L217" s="73">
        <f>Source!P137-L222</f>
        <v>1340937.04</v>
      </c>
    </row>
    <row r="218" spans="1:12" ht="14.25">
      <c r="A218" s="70"/>
      <c r="B218" s="71"/>
      <c r="C218" s="115" t="s">
        <v>474</v>
      </c>
      <c r="D218" s="115"/>
      <c r="E218" s="115"/>
      <c r="F218" s="115"/>
      <c r="G218" s="115"/>
      <c r="H218" s="115"/>
      <c r="I218" s="72"/>
      <c r="J218" s="73">
        <f>SUM(AR47:AR210)+SUM(BB47:BB210)+SUM(BI47:BI210)+SUM(BP47:BP210)</f>
        <v>126.63</v>
      </c>
      <c r="K218" s="73"/>
      <c r="L218" s="73">
        <f>Source!P159</f>
        <v>1676.64</v>
      </c>
    </row>
    <row r="219" spans="1:12" ht="14.25">
      <c r="A219" s="70"/>
      <c r="B219" s="71"/>
      <c r="C219" s="115" t="s">
        <v>489</v>
      </c>
      <c r="D219" s="115"/>
      <c r="E219" s="115"/>
      <c r="F219" s="115"/>
      <c r="G219" s="115"/>
      <c r="H219" s="115"/>
      <c r="I219" s="72"/>
      <c r="J219" s="73">
        <f>SUM(Q47:Q210)+SUM(X47:X210)</f>
        <v>2000.8899999999999</v>
      </c>
      <c r="K219" s="73"/>
      <c r="L219" s="73">
        <f>SUM(U47:U210)+SUM(Z47:Z210)</f>
        <v>74712.93</v>
      </c>
    </row>
    <row r="220" spans="1:12" ht="14.25">
      <c r="A220" s="70"/>
      <c r="B220" s="71"/>
      <c r="C220" s="115" t="s">
        <v>490</v>
      </c>
      <c r="D220" s="115"/>
      <c r="E220" s="115"/>
      <c r="F220" s="115"/>
      <c r="G220" s="115"/>
      <c r="H220" s="115"/>
      <c r="I220" s="72"/>
      <c r="J220" s="73">
        <f>SUM(AG47:AG210)</f>
        <v>1882.8600000000001</v>
      </c>
      <c r="K220" s="73"/>
      <c r="L220" s="73">
        <f>Source!P160</f>
        <v>70305.36</v>
      </c>
    </row>
    <row r="221" spans="1:12" ht="14.25">
      <c r="A221" s="70"/>
      <c r="B221" s="71"/>
      <c r="C221" s="115" t="s">
        <v>491</v>
      </c>
      <c r="D221" s="115"/>
      <c r="E221" s="115"/>
      <c r="F221" s="115"/>
      <c r="G221" s="115"/>
      <c r="H221" s="115"/>
      <c r="I221" s="72"/>
      <c r="J221" s="73">
        <f>SUM(AI47:AI210)</f>
        <v>1117.21</v>
      </c>
      <c r="K221" s="73"/>
      <c r="L221" s="73">
        <f>Source!P161</f>
        <v>41716.55</v>
      </c>
    </row>
    <row r="222" spans="1:12" ht="13.5" customHeight="1" hidden="1">
      <c r="A222" s="70"/>
      <c r="B222" s="71"/>
      <c r="C222" s="115" t="s">
        <v>492</v>
      </c>
      <c r="D222" s="115"/>
      <c r="E222" s="115"/>
      <c r="F222" s="115"/>
      <c r="G222" s="115"/>
      <c r="H222" s="115"/>
      <c r="I222" s="72"/>
      <c r="J222" s="73">
        <f>SUM(BH47:BH210)</f>
        <v>0</v>
      </c>
      <c r="K222" s="73"/>
      <c r="L222" s="73">
        <f>Source!P143</f>
        <v>0</v>
      </c>
    </row>
    <row r="223" spans="1:12" ht="13.5" customHeight="1" hidden="1">
      <c r="A223" s="70"/>
      <c r="B223" s="71"/>
      <c r="C223" s="115" t="s">
        <v>493</v>
      </c>
      <c r="D223" s="115"/>
      <c r="E223" s="115"/>
      <c r="F223" s="115"/>
      <c r="G223" s="115"/>
      <c r="H223" s="115"/>
      <c r="I223" s="72"/>
      <c r="J223" s="73">
        <f>SUM(BM47:BM210)+SUM(BN47:BN210)+SUM(BO47:BO210)+SUM(BP47:BP210)</f>
        <v>0</v>
      </c>
      <c r="K223" s="73"/>
      <c r="L223" s="73">
        <f>Source!P153</f>
        <v>0</v>
      </c>
    </row>
    <row r="224" spans="1:12" s="11" customFormat="1" ht="14.25">
      <c r="A224" s="70"/>
      <c r="B224" s="71"/>
      <c r="C224" s="115" t="s">
        <v>487</v>
      </c>
      <c r="D224" s="115"/>
      <c r="E224" s="115"/>
      <c r="F224" s="115"/>
      <c r="G224" s="115"/>
      <c r="H224" s="115"/>
      <c r="I224" s="72"/>
      <c r="J224" s="73">
        <f>J213+J220+J221+J222</f>
        <v>1336824.5599999998</v>
      </c>
      <c r="K224" s="73"/>
      <c r="L224" s="73">
        <f>Source!P162</f>
        <v>1533328.94</v>
      </c>
    </row>
    <row r="225" spans="1:12" ht="13.5" customHeight="1" hidden="1">
      <c r="A225" s="70"/>
      <c r="B225" s="71"/>
      <c r="C225" s="116" t="s">
        <v>470</v>
      </c>
      <c r="D225" s="115"/>
      <c r="E225" s="115"/>
      <c r="F225" s="115"/>
      <c r="G225" s="115"/>
      <c r="H225" s="115"/>
      <c r="I225" s="72"/>
      <c r="J225" s="73"/>
      <c r="K225" s="73"/>
      <c r="L225" s="73"/>
    </row>
    <row r="226" spans="1:12" ht="13.5" customHeight="1" hidden="1">
      <c r="A226" s="70"/>
      <c r="B226" s="71"/>
      <c r="C226" s="115" t="s">
        <v>482</v>
      </c>
      <c r="D226" s="115"/>
      <c r="E226" s="115"/>
      <c r="F226" s="115"/>
      <c r="G226" s="115"/>
      <c r="H226" s="115"/>
      <c r="I226" s="72"/>
      <c r="J226" s="73"/>
      <c r="K226" s="73"/>
      <c r="L226" s="73">
        <f>SUM(BS47:BS210)</f>
        <v>0</v>
      </c>
    </row>
    <row r="227" spans="1:12" ht="13.5" customHeight="1" hidden="1">
      <c r="A227" s="70"/>
      <c r="B227" s="71"/>
      <c r="C227" s="115" t="s">
        <v>483</v>
      </c>
      <c r="D227" s="115"/>
      <c r="E227" s="115"/>
      <c r="F227" s="115"/>
      <c r="G227" s="115"/>
      <c r="H227" s="115"/>
      <c r="I227" s="72"/>
      <c r="J227" s="73"/>
      <c r="K227" s="73"/>
      <c r="L227" s="73">
        <f>SUM(BT47:BT210)</f>
        <v>0</v>
      </c>
    </row>
    <row r="228" spans="3:12" ht="14.25">
      <c r="C228" s="121" t="str">
        <f>Source!H165</f>
        <v>НДС 20%</v>
      </c>
      <c r="D228" s="121"/>
      <c r="E228" s="121"/>
      <c r="F228" s="121"/>
      <c r="G228" s="121"/>
      <c r="H228" s="121"/>
      <c r="I228" s="121"/>
      <c r="J228" s="121"/>
      <c r="K228" s="121"/>
      <c r="L228" s="49">
        <f>IF(Source!AB165=0,"",Source!AB165)</f>
        <v>306665.79</v>
      </c>
    </row>
    <row r="229" spans="3:12" s="30" customFormat="1" ht="15">
      <c r="C229" s="122" t="str">
        <f>Source!H166</f>
        <v>ВСЕГО ПО СМЕТЕ</v>
      </c>
      <c r="D229" s="122"/>
      <c r="E229" s="122"/>
      <c r="F229" s="122"/>
      <c r="G229" s="122"/>
      <c r="H229" s="122"/>
      <c r="I229" s="122"/>
      <c r="J229" s="122"/>
      <c r="K229" s="122"/>
      <c r="L229" s="65">
        <f>IF(Source!AB166=0,"",Source!AB166)</f>
        <v>1839994.73</v>
      </c>
    </row>
    <row r="232" spans="1:11" ht="14.25">
      <c r="A232" s="123" t="s">
        <v>494</v>
      </c>
      <c r="B232" s="123"/>
      <c r="C232" s="47" t="str">
        <f>IF(Source!AC12&lt;&gt;"",Source!AC12," ")</f>
        <v>Ведущий инжененр РЕСО</v>
      </c>
      <c r="D232" s="47"/>
      <c r="E232" s="47"/>
      <c r="F232" s="47"/>
      <c r="G232" s="47"/>
      <c r="H232" s="124" t="str">
        <f>IF(Source!AB12&lt;&gt;"",Source!AB12," ")</f>
        <v>Степанова А.М.</v>
      </c>
      <c r="I232" s="124"/>
      <c r="J232" s="124"/>
      <c r="K232" s="124"/>
    </row>
    <row r="233" spans="1:11" ht="14.25">
      <c r="A233" s="14"/>
      <c r="B233" s="14"/>
      <c r="C233" s="120" t="s">
        <v>495</v>
      </c>
      <c r="D233" s="120"/>
      <c r="E233" s="120"/>
      <c r="F233" s="120"/>
      <c r="G233" s="120"/>
      <c r="H233" s="14"/>
      <c r="I233" s="14"/>
      <c r="J233" s="14"/>
      <c r="K233" s="14"/>
    </row>
    <row r="234" spans="1:11" ht="14.2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</row>
    <row r="235" spans="1:11" ht="14.25">
      <c r="A235" s="123" t="s">
        <v>496</v>
      </c>
      <c r="B235" s="123"/>
      <c r="C235" s="47" t="str">
        <f>IF(Source!AE12&lt;&gt;"",Source!AE12," ")</f>
        <v>Заведующий РЕСО</v>
      </c>
      <c r="D235" s="47"/>
      <c r="E235" s="47"/>
      <c r="F235" s="47"/>
      <c r="G235" s="47"/>
      <c r="H235" s="124" t="str">
        <f>IF(Source!AD12&lt;&gt;"",Source!AD12," ")</f>
        <v>Покшин В.И.</v>
      </c>
      <c r="I235" s="124"/>
      <c r="J235" s="124"/>
      <c r="K235" s="124"/>
    </row>
    <row r="236" spans="1:11" ht="14.25">
      <c r="A236" s="14"/>
      <c r="B236" s="14"/>
      <c r="C236" s="120" t="s">
        <v>495</v>
      </c>
      <c r="D236" s="120"/>
      <c r="E236" s="120"/>
      <c r="F236" s="120"/>
      <c r="G236" s="120"/>
      <c r="H236" s="14"/>
      <c r="I236" s="14"/>
      <c r="J236" s="14"/>
      <c r="K236" s="14"/>
    </row>
  </sheetData>
  <sheetProtection/>
  <mergeCells count="121">
    <mergeCell ref="B7:E7"/>
    <mergeCell ref="H7:L7"/>
    <mergeCell ref="A10:L10"/>
    <mergeCell ref="A12:K12"/>
    <mergeCell ref="B15:K15"/>
    <mergeCell ref="B16:K16"/>
    <mergeCell ref="B3:E3"/>
    <mergeCell ref="H3:L3"/>
    <mergeCell ref="B4:E4"/>
    <mergeCell ref="H4:L4"/>
    <mergeCell ref="B6:E6"/>
    <mergeCell ref="H6:L6"/>
    <mergeCell ref="C30:G30"/>
    <mergeCell ref="D34:E34"/>
    <mergeCell ref="D37:E37"/>
    <mergeCell ref="D38:E38"/>
    <mergeCell ref="D39:E39"/>
    <mergeCell ref="D40:E40"/>
    <mergeCell ref="B18:K18"/>
    <mergeCell ref="B19:K19"/>
    <mergeCell ref="B21:K21"/>
    <mergeCell ref="B23:K23"/>
    <mergeCell ref="B24:K24"/>
    <mergeCell ref="C29:G29"/>
    <mergeCell ref="A232:B232"/>
    <mergeCell ref="H232:K232"/>
    <mergeCell ref="C233:G233"/>
    <mergeCell ref="A235:B235"/>
    <mergeCell ref="H235:K235"/>
    <mergeCell ref="K42:K45"/>
    <mergeCell ref="L42:L45"/>
    <mergeCell ref="K129:L129"/>
    <mergeCell ref="I129:J129"/>
    <mergeCell ref="C129:H129"/>
    <mergeCell ref="K117:L117"/>
    <mergeCell ref="A42:A45"/>
    <mergeCell ref="B42:B45"/>
    <mergeCell ref="C42:C45"/>
    <mergeCell ref="D42:D45"/>
    <mergeCell ref="E42:G44"/>
    <mergeCell ref="H42:J44"/>
    <mergeCell ref="A48:L48"/>
    <mergeCell ref="K73:L73"/>
    <mergeCell ref="I73:J73"/>
    <mergeCell ref="C73:H73"/>
    <mergeCell ref="K61:L61"/>
    <mergeCell ref="I61:J61"/>
    <mergeCell ref="C61:H61"/>
    <mergeCell ref="C236:G236"/>
    <mergeCell ref="C170:H170"/>
    <mergeCell ref="K156:L156"/>
    <mergeCell ref="I156:J156"/>
    <mergeCell ref="C156:H156"/>
    <mergeCell ref="K141:L141"/>
    <mergeCell ref="I141:J141"/>
    <mergeCell ref="C141:H141"/>
    <mergeCell ref="C176:H176"/>
    <mergeCell ref="C175:H175"/>
    <mergeCell ref="C228:K228"/>
    <mergeCell ref="C229:K229"/>
    <mergeCell ref="C185:H185"/>
    <mergeCell ref="C184:H184"/>
    <mergeCell ref="C183:H183"/>
    <mergeCell ref="C182:H182"/>
    <mergeCell ref="C181:H181"/>
    <mergeCell ref="C180:H180"/>
    <mergeCell ref="C179:H179"/>
    <mergeCell ref="C178:H178"/>
    <mergeCell ref="C177:H177"/>
    <mergeCell ref="C174:H174"/>
    <mergeCell ref="C173:H173"/>
    <mergeCell ref="C172:H172"/>
    <mergeCell ref="I117:J117"/>
    <mergeCell ref="C117:H117"/>
    <mergeCell ref="K101:L101"/>
    <mergeCell ref="I101:J101"/>
    <mergeCell ref="C101:H101"/>
    <mergeCell ref="K88:L88"/>
    <mergeCell ref="I88:J88"/>
    <mergeCell ref="C88:H88"/>
    <mergeCell ref="C213:H213"/>
    <mergeCell ref="C212:H212"/>
    <mergeCell ref="K170:L170"/>
    <mergeCell ref="I170:J170"/>
    <mergeCell ref="C205:H205"/>
    <mergeCell ref="C204:H204"/>
    <mergeCell ref="C203:H203"/>
    <mergeCell ref="C202:H202"/>
    <mergeCell ref="C201:H201"/>
    <mergeCell ref="K191:L191"/>
    <mergeCell ref="I191:J191"/>
    <mergeCell ref="C191:H191"/>
    <mergeCell ref="A188:L188"/>
    <mergeCell ref="C186:H186"/>
    <mergeCell ref="C196:H196"/>
    <mergeCell ref="K194:L194"/>
    <mergeCell ref="I194:J194"/>
    <mergeCell ref="C194:H194"/>
    <mergeCell ref="C200:H200"/>
    <mergeCell ref="C199:H199"/>
    <mergeCell ref="C198:H198"/>
    <mergeCell ref="C197:H197"/>
    <mergeCell ref="C210:H210"/>
    <mergeCell ref="C209:H209"/>
    <mergeCell ref="C208:H208"/>
    <mergeCell ref="C207:H207"/>
    <mergeCell ref="C206:H206"/>
    <mergeCell ref="C227:H227"/>
    <mergeCell ref="C226:H226"/>
    <mergeCell ref="C225:H225"/>
    <mergeCell ref="C224:H224"/>
    <mergeCell ref="C223:H223"/>
    <mergeCell ref="C217:H217"/>
    <mergeCell ref="C216:H216"/>
    <mergeCell ref="C215:H215"/>
    <mergeCell ref="C214:H214"/>
    <mergeCell ref="C222:H222"/>
    <mergeCell ref="C221:H221"/>
    <mergeCell ref="C220:H220"/>
    <mergeCell ref="C219:H219"/>
    <mergeCell ref="C218:H218"/>
  </mergeCells>
  <printOptions/>
  <pageMargins left="0.4" right="0.2" top="0.2" bottom="0.4" header="0.2" footer="0.2"/>
  <pageSetup fitToHeight="0" fitToWidth="1" horizontalDpi="600" verticalDpi="600" orientation="portrait" paperSize="9" scale="51" r:id="rId1"/>
  <headerFooter>
    <oddHeader>&amp;L&amp;8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75.7109375" style="0" customWidth="1"/>
    <col min="4" max="8" width="15.7109375" style="0" customWidth="1"/>
    <col min="30" max="30" width="0" style="0" hidden="1" customWidth="1"/>
    <col min="31" max="31" width="114.7109375" style="0" hidden="1" customWidth="1"/>
    <col min="32" max="32" width="0" style="0" hidden="1" customWidth="1"/>
  </cols>
  <sheetData>
    <row r="1" ht="12.75">
      <c r="A1" s="12" t="str">
        <f>Source!B1</f>
        <v>Smeta.RU  (495) 974-1589</v>
      </c>
    </row>
    <row r="2" spans="4:5" ht="14.25">
      <c r="D2" s="14"/>
      <c r="E2" s="14"/>
    </row>
    <row r="3" spans="4:5" ht="15">
      <c r="D3" s="14"/>
      <c r="E3" s="64" t="s">
        <v>388</v>
      </c>
    </row>
    <row r="4" spans="4:5" ht="15">
      <c r="D4" s="64"/>
      <c r="E4" s="64"/>
    </row>
    <row r="5" spans="4:5" ht="15">
      <c r="D5" s="150" t="s">
        <v>497</v>
      </c>
      <c r="E5" s="150"/>
    </row>
    <row r="6" spans="4:5" ht="15">
      <c r="D6" s="80"/>
      <c r="E6" s="80"/>
    </row>
    <row r="7" spans="4:5" ht="15">
      <c r="D7" s="150" t="s">
        <v>497</v>
      </c>
      <c r="E7" s="150"/>
    </row>
    <row r="8" spans="4:5" ht="15">
      <c r="D8" s="80"/>
      <c r="E8" s="80"/>
    </row>
    <row r="9" spans="4:5" ht="15">
      <c r="D9" s="64" t="s">
        <v>498</v>
      </c>
      <c r="E9" s="14"/>
    </row>
    <row r="10" spans="4:5" ht="14.25">
      <c r="D10" s="14"/>
      <c r="E10" s="14"/>
    </row>
    <row r="12" spans="2:5" ht="15.75">
      <c r="B12" s="151" t="str">
        <f>CONCATENATE("Ведомость объемов работ ",IF(Source!AN15&lt;&gt;"",Source!AN15," "))</f>
        <v>Ведомость объемов работ  </v>
      </c>
      <c r="C12" s="151"/>
      <c r="D12" s="151"/>
      <c r="E12" s="151"/>
    </row>
    <row r="13" spans="2:31" ht="15">
      <c r="B13" s="152" t="str">
        <f>CONCATENATE(Source!F12," ",Source!G12)</f>
        <v> Выполнение работ по замене светопрозрачных перегородок входа в блок 1 строения № 1 ИПУ РАН</v>
      </c>
      <c r="C13" s="152"/>
      <c r="D13" s="152"/>
      <c r="E13" s="152"/>
      <c r="AE13" s="81" t="str">
        <f>CONCATENATE(Source!F12," ",Source!G12)</f>
        <v> Выполнение работ по замене светопрозрачных перегородок входа в блок 1 строения № 1 ИПУ РАН</v>
      </c>
    </row>
    <row r="14" ht="12.75" hidden="1"/>
    <row r="16" spans="1:8" ht="99.75">
      <c r="A16" s="83" t="s">
        <v>411</v>
      </c>
      <c r="B16" s="83" t="s">
        <v>499</v>
      </c>
      <c r="C16" s="83" t="s">
        <v>413</v>
      </c>
      <c r="D16" s="83" t="s">
        <v>414</v>
      </c>
      <c r="E16" s="83" t="s">
        <v>415</v>
      </c>
      <c r="F16" s="83" t="s">
        <v>500</v>
      </c>
      <c r="G16" s="83" t="s">
        <v>501</v>
      </c>
      <c r="H16" s="83" t="s">
        <v>502</v>
      </c>
    </row>
    <row r="17" spans="1:8" ht="14.25">
      <c r="A17" s="83">
        <v>1</v>
      </c>
      <c r="B17" s="83">
        <v>2</v>
      </c>
      <c r="C17" s="83">
        <v>3</v>
      </c>
      <c r="D17" s="83">
        <v>4</v>
      </c>
      <c r="E17" s="83">
        <v>5</v>
      </c>
      <c r="F17" s="83">
        <v>6</v>
      </c>
      <c r="G17" s="83">
        <v>7</v>
      </c>
      <c r="H17" s="83">
        <v>8</v>
      </c>
    </row>
    <row r="18" spans="1:8" ht="16.5">
      <c r="A18" s="149" t="str">
        <f>CONCATENATE("Локальная смета: ",Source!G20)</f>
        <v>Локальная смета: </v>
      </c>
      <c r="B18" s="149"/>
      <c r="C18" s="149"/>
      <c r="D18" s="149"/>
      <c r="E18" s="149"/>
      <c r="F18" s="149"/>
      <c r="G18" s="149"/>
      <c r="H18" s="149"/>
    </row>
    <row r="19" spans="1:8" ht="16.5">
      <c r="A19" s="149" t="str">
        <f>CONCATENATE("Раздел: ",Source!G24)</f>
        <v>Раздел: Ремонтные работы</v>
      </c>
      <c r="B19" s="149"/>
      <c r="C19" s="149"/>
      <c r="D19" s="149"/>
      <c r="E19" s="149"/>
      <c r="F19" s="149"/>
      <c r="G19" s="149"/>
      <c r="H19" s="149"/>
    </row>
    <row r="20" spans="1:8" ht="28.5">
      <c r="A20" s="83">
        <v>1</v>
      </c>
      <c r="B20" s="83" t="str">
        <f>Source!E28</f>
        <v>1</v>
      </c>
      <c r="C20" s="86" t="str">
        <f>Source!G28</f>
        <v>Демонтаж перегородок: из алюминиевых сплавов сборно-разборных с остеклением (Применительно)</v>
      </c>
      <c r="D20" s="83" t="s">
        <v>26</v>
      </c>
      <c r="E20" s="87">
        <f>Source!I28</f>
        <v>0.32</v>
      </c>
      <c r="F20" s="83">
        <f>Source!U24</f>
      </c>
      <c r="G20" s="83" t="str">
        <f>"=32/"&amp;"100"</f>
        <v>=32/100</v>
      </c>
      <c r="H20" s="86"/>
    </row>
    <row r="21" spans="1:8" ht="14.25">
      <c r="A21" s="83">
        <v>2</v>
      </c>
      <c r="B21" s="83" t="str">
        <f>Source!E30</f>
        <v>2</v>
      </c>
      <c r="C21" s="86" t="str">
        <f>Source!G30</f>
        <v>Срезка анкерных болтов (Применительно)</v>
      </c>
      <c r="D21" s="83" t="s">
        <v>41</v>
      </c>
      <c r="E21" s="87">
        <f>Source!I30</f>
        <v>0.01</v>
      </c>
      <c r="F21" s="83">
        <f>Source!U24</f>
      </c>
      <c r="G21" s="83">
        <f>Source!I30</f>
        <v>0.01</v>
      </c>
      <c r="H21" s="86"/>
    </row>
    <row r="22" spans="1:8" ht="28.5">
      <c r="A22" s="83">
        <v>3</v>
      </c>
      <c r="B22" s="83" t="str">
        <f>Source!E36</f>
        <v>3</v>
      </c>
      <c r="C22" s="86" t="str">
        <f>Source!G36</f>
        <v>Сверление в железобетонных конструкциях вертикальных отверстий глубиной 200 мм диаметром: 20 мм (Применительно)</v>
      </c>
      <c r="D22" s="83" t="s">
        <v>59</v>
      </c>
      <c r="E22" s="87">
        <f>Source!I36</f>
        <v>0.16</v>
      </c>
      <c r="F22" s="83">
        <f>Source!U24</f>
      </c>
      <c r="G22" s="83" t="str">
        <f>"=16/"&amp;"100"</f>
        <v>=16/100</v>
      </c>
      <c r="H22" s="86"/>
    </row>
    <row r="23" spans="1:8" ht="14.25">
      <c r="A23" s="83">
        <v>3.1</v>
      </c>
      <c r="B23" s="83" t="str">
        <f>Source!E38</f>
        <v>3,1</v>
      </c>
      <c r="C23" s="86" t="str">
        <f>Source!G38</f>
        <v>Бур с ограничителем TE-C-HDA-B 22х155 для анкеров HDA</v>
      </c>
      <c r="D23" s="83" t="s">
        <v>50</v>
      </c>
      <c r="E23" s="87">
        <f>Source!I38</f>
        <v>1.5</v>
      </c>
      <c r="F23" s="83">
        <f>Source!U24</f>
      </c>
      <c r="G23" s="83"/>
      <c r="H23" s="86"/>
    </row>
    <row r="24" spans="1:8" ht="14.25">
      <c r="A24" s="83">
        <v>4</v>
      </c>
      <c r="B24" s="83" t="str">
        <f>Source!E40</f>
        <v>4</v>
      </c>
      <c r="C24" s="86" t="str">
        <f>Source!G40</f>
        <v>Установка анкерных болтов: в готовые гнезда с заделкой длиной до 1 м</v>
      </c>
      <c r="D24" s="83" t="s">
        <v>41</v>
      </c>
      <c r="E24" s="87">
        <f>Source!I40</f>
        <v>0.01</v>
      </c>
      <c r="F24" s="83">
        <f>Source!U24</f>
      </c>
      <c r="G24" s="83">
        <f>Source!I40</f>
        <v>0.01</v>
      </c>
      <c r="H24" s="86"/>
    </row>
    <row r="25" spans="1:8" ht="28.5">
      <c r="A25" s="83">
        <v>5</v>
      </c>
      <c r="B25" s="83" t="str">
        <f>Source!E42</f>
        <v>5</v>
      </c>
      <c r="C25" s="86" t="str">
        <f>Source!G42</f>
        <v>Монтаж перегородок: из алюминиевых сплавов сборно-разборных с остеклением</v>
      </c>
      <c r="D25" s="83" t="s">
        <v>26</v>
      </c>
      <c r="E25" s="87">
        <f>Source!I42</f>
        <v>0.259</v>
      </c>
      <c r="F25" s="83">
        <f>Source!U24</f>
      </c>
      <c r="G25" s="83" t="str">
        <f>"=25,9/"&amp;"100"</f>
        <v>=25,9/100</v>
      </c>
      <c r="H25" s="86"/>
    </row>
    <row r="26" spans="1:8" ht="57">
      <c r="A26" s="83">
        <v>5.1</v>
      </c>
      <c r="B26" s="83" t="str">
        <f>Source!E44</f>
        <v>5,1</v>
      </c>
      <c r="C26" s="86" t="str">
        <f>Source!G44</f>
        <v>Перегородка из профилей алaлюминиевых Realit RW 64 и Realit RF 50 стойка -ригель,  Стеклопакет энергосберегающий 6зак+20+6 И зак.TopN  внешняя, по каталогу RAL  по согласованию согласно проекта (порошковая покраска)</v>
      </c>
      <c r="D26" s="83" t="s">
        <v>81</v>
      </c>
      <c r="E26" s="87">
        <f>Source!I44</f>
        <v>25.9</v>
      </c>
      <c r="F26" s="83">
        <f>Source!U24</f>
      </c>
      <c r="G26" s="83"/>
      <c r="H26" s="86"/>
    </row>
    <row r="27" spans="1:8" ht="14.25">
      <c r="A27" s="83">
        <v>5.2</v>
      </c>
      <c r="B27" s="83" t="str">
        <f>Source!E46</f>
        <v>5,2</v>
      </c>
      <c r="C27" s="86" t="str">
        <f>Source!G46</f>
        <v>Монтажные комплектующие</v>
      </c>
      <c r="D27" s="83" t="s">
        <v>85</v>
      </c>
      <c r="E27" s="87">
        <f>Source!I46</f>
        <v>1</v>
      </c>
      <c r="F27" s="83">
        <f>Source!U24</f>
      </c>
      <c r="G27" s="83"/>
      <c r="H27" s="86"/>
    </row>
    <row r="28" spans="1:8" ht="14.25">
      <c r="A28" s="83">
        <v>6</v>
      </c>
      <c r="B28" s="83" t="str">
        <f>Source!E48</f>
        <v>6</v>
      </c>
      <c r="C28" s="86" t="str">
        <f>Source!G48</f>
        <v>Установка алюминиевых: нащельников</v>
      </c>
      <c r="D28" s="83" t="s">
        <v>89</v>
      </c>
      <c r="E28" s="87">
        <f>Source!I48</f>
        <v>0.677</v>
      </c>
      <c r="F28" s="83">
        <f>Source!U24</f>
      </c>
      <c r="G28" s="83" t="str">
        <f>"=67,7/"&amp;"100"</f>
        <v>=67,7/100</v>
      </c>
      <c r="H28" s="86"/>
    </row>
    <row r="29" spans="1:8" ht="14.25">
      <c r="A29" s="83">
        <v>6.1</v>
      </c>
      <c r="B29" s="83" t="str">
        <f>Source!E50</f>
        <v>6,1</v>
      </c>
      <c r="C29" s="86" t="str">
        <f>Source!G50</f>
        <v>Нащельники и детали примыканий</v>
      </c>
      <c r="D29" s="83" t="s">
        <v>93</v>
      </c>
      <c r="E29" s="87">
        <f>Source!I50</f>
        <v>67.7</v>
      </c>
      <c r="F29" s="83">
        <f>Source!U24</f>
      </c>
      <c r="G29" s="83"/>
      <c r="H29" s="86"/>
    </row>
    <row r="30" spans="1:8" ht="14.25">
      <c r="A30" s="83">
        <v>7</v>
      </c>
      <c r="B30" s="83" t="str">
        <f>Source!E52</f>
        <v>7</v>
      </c>
      <c r="C30" s="86" t="str">
        <f>Source!G52</f>
        <v>Укладка металлического накладного профиля (порога)</v>
      </c>
      <c r="D30" s="83" t="s">
        <v>89</v>
      </c>
      <c r="E30" s="87">
        <f>Source!I52</f>
        <v>0.03</v>
      </c>
      <c r="F30" s="83">
        <f>Source!U24</f>
      </c>
      <c r="G30" s="83" t="str">
        <f>"=3/"&amp;"100"</f>
        <v>=3/100</v>
      </c>
      <c r="H30" s="86"/>
    </row>
    <row r="31" spans="1:8" ht="28.5">
      <c r="A31" s="83">
        <v>7.1</v>
      </c>
      <c r="B31" s="83" t="str">
        <f>Source!E54</f>
        <v>7,1</v>
      </c>
      <c r="C31" s="86" t="str">
        <f>Source!G54</f>
        <v>Профили стыкоперекрывающие из алюминиевых сплавов (порожки) с покрытием, шириной 60 мм</v>
      </c>
      <c r="D31" s="83" t="s">
        <v>93</v>
      </c>
      <c r="E31" s="87">
        <f>Source!I54</f>
        <v>3.15</v>
      </c>
      <c r="F31" s="83">
        <f>Source!U24</f>
      </c>
      <c r="G31" s="83"/>
      <c r="H31" s="86"/>
    </row>
    <row r="32" spans="1:8" ht="28.5">
      <c r="A32" s="83">
        <v>8</v>
      </c>
      <c r="B32" s="83" t="str">
        <f>Source!E56</f>
        <v>8</v>
      </c>
      <c r="C32" s="86" t="str">
        <f>Source!G56</f>
        <v>Установка блоков в наружных и внутренних дверных проемах: в каменных стенах, площадь проема более 3 м2</v>
      </c>
      <c r="D32" s="83" t="s">
        <v>26</v>
      </c>
      <c r="E32" s="87">
        <f>Source!I56</f>
        <v>0.0638</v>
      </c>
      <c r="F32" s="83">
        <f>Source!U24</f>
      </c>
      <c r="G32" s="83" t="str">
        <f>"=6,38/"&amp;"100"</f>
        <v>=6,38/100</v>
      </c>
      <c r="H32" s="86"/>
    </row>
    <row r="33" spans="1:8" ht="71.25">
      <c r="A33" s="83">
        <v>8.1</v>
      </c>
      <c r="B33" s="83" t="str">
        <f>Source!E58</f>
        <v>8,1</v>
      </c>
      <c r="C33" s="86" t="str">
        <f>Source!G58</f>
        <v>Дверной блок светопрозрачный, распашной двустворчатый (1450*2200 мм) из теплого алюминиевого профиля Realit RI 50 и RF 50 с двухкамерным стеклопакетом  6зак+20+6 зак, петли Wala 3 шт на створку, ручка скоба 300-350, замок ключ+ключ стационарный порог 14 мм, EIW15)</v>
      </c>
      <c r="D33" s="83" t="s">
        <v>115</v>
      </c>
      <c r="E33" s="87">
        <f>Source!I58</f>
        <v>2</v>
      </c>
      <c r="F33" s="83">
        <f>Source!U24</f>
      </c>
      <c r="G33" s="83"/>
      <c r="H33" s="86"/>
    </row>
    <row r="34" spans="1:8" ht="14.25">
      <c r="A34" s="83">
        <v>9</v>
      </c>
      <c r="B34" s="83" t="str">
        <f>Source!E60</f>
        <v>9</v>
      </c>
      <c r="C34" s="86" t="str">
        <f>Source!G60</f>
        <v>Установка: дверного доводчика</v>
      </c>
      <c r="D34" s="83" t="s">
        <v>125</v>
      </c>
      <c r="E34" s="87">
        <f>Source!I60</f>
        <v>0.02</v>
      </c>
      <c r="F34" s="83">
        <f>Source!U24</f>
      </c>
      <c r="G34" s="83" t="str">
        <f>"=2/"&amp;"100"</f>
        <v>=2/100</v>
      </c>
      <c r="H34" s="86"/>
    </row>
    <row r="35" spans="1:8" ht="16.5">
      <c r="A35" s="149" t="str">
        <f>CONCATENATE("Раздел: ",Source!G94)</f>
        <v>Раздел: Разные работы</v>
      </c>
      <c r="B35" s="149"/>
      <c r="C35" s="149"/>
      <c r="D35" s="149"/>
      <c r="E35" s="149"/>
      <c r="F35" s="149"/>
      <c r="G35" s="149"/>
      <c r="H35" s="149"/>
    </row>
    <row r="36" spans="1:8" ht="28.5">
      <c r="A36" s="83">
        <v>10</v>
      </c>
      <c r="B36" s="83" t="str">
        <f>Source!E98</f>
        <v>10</v>
      </c>
      <c r="C36" s="86" t="str">
        <f>Source!G98</f>
        <v>Погрузка при автомобильных перевозках мусора строительного с погрузкой вручную</v>
      </c>
      <c r="D36" s="83" t="s">
        <v>187</v>
      </c>
      <c r="E36" s="87">
        <f>Source!I98</f>
        <v>1.9</v>
      </c>
      <c r="F36" s="83">
        <f>Source!U94</f>
      </c>
      <c r="G36" s="83">
        <f>Source!I98</f>
        <v>1.9</v>
      </c>
      <c r="H36" s="86"/>
    </row>
    <row r="37" spans="1:8" ht="28.5">
      <c r="A37" s="82">
        <v>11</v>
      </c>
      <c r="B37" s="82" t="str">
        <f>Source!E100</f>
        <v>11</v>
      </c>
      <c r="C37" s="84" t="str">
        <f>Source!G100</f>
        <v>Перевозка грузов I класса автомобилями бортовыми грузоподъемностью до 15 т на расстояние до 50 км</v>
      </c>
      <c r="D37" s="82" t="s">
        <v>187</v>
      </c>
      <c r="E37" s="85">
        <f>Source!I100</f>
        <v>1.9</v>
      </c>
      <c r="F37" s="82">
        <f>Source!U94</f>
      </c>
      <c r="G37" s="82">
        <f>Source!I100</f>
        <v>1.9</v>
      </c>
      <c r="H37" s="84"/>
    </row>
    <row r="40" spans="2:5" ht="15">
      <c r="B40" s="88" t="s">
        <v>503</v>
      </c>
      <c r="C40" s="14"/>
      <c r="D40" s="89" t="s">
        <v>504</v>
      </c>
      <c r="E40" s="90"/>
    </row>
  </sheetData>
  <sheetProtection/>
  <mergeCells count="7">
    <mergeCell ref="A35:H35"/>
    <mergeCell ref="D5:E5"/>
    <mergeCell ref="D7:E7"/>
    <mergeCell ref="B12:E12"/>
    <mergeCell ref="B13:E13"/>
    <mergeCell ref="A18:H18"/>
    <mergeCell ref="A19:H19"/>
  </mergeCells>
  <printOptions/>
  <pageMargins left="0.4" right="0.2" top="0.2" bottom="0.4" header="0.2" footer="0.2"/>
  <pageSetup fitToHeight="0" fitToWidth="1" horizontalDpi="600" verticalDpi="600" orientation="portrait" paperSize="9" scale="59" r:id="rId1"/>
  <headerFooter>
    <oddHeader>&amp;L&amp;8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0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5.7109375" style="0" customWidth="1"/>
    <col min="3" max="3" width="40.7109375" style="0" customWidth="1"/>
    <col min="4" max="8" width="12.7109375" style="0" customWidth="1"/>
    <col min="20" max="30" width="0" style="0" hidden="1" customWidth="1"/>
    <col min="31" max="31" width="64.7109375" style="0" hidden="1" customWidth="1"/>
    <col min="32" max="32" width="0" style="0" hidden="1" customWidth="1"/>
    <col min="33" max="33" width="76.7109375" style="0" hidden="1" customWidth="1"/>
    <col min="34" max="37" width="0" style="0" hidden="1" customWidth="1"/>
  </cols>
  <sheetData>
    <row r="1" ht="12.75">
      <c r="A1" s="12" t="str">
        <f>Source!B1</f>
        <v>Smeta.RU  (495) 974-1589</v>
      </c>
    </row>
    <row r="2" spans="1:8" ht="15">
      <c r="A2" s="54"/>
      <c r="B2" s="54"/>
      <c r="C2" s="54"/>
      <c r="D2" s="54"/>
      <c r="E2" s="174" t="s">
        <v>505</v>
      </c>
      <c r="F2" s="174"/>
      <c r="G2" s="174"/>
      <c r="H2" s="174"/>
    </row>
    <row r="3" spans="1:8" ht="14.25">
      <c r="A3" s="14"/>
      <c r="B3" s="14"/>
      <c r="C3" s="14"/>
      <c r="D3" s="14"/>
      <c r="E3" s="174" t="s">
        <v>506</v>
      </c>
      <c r="F3" s="174"/>
      <c r="G3" s="174"/>
      <c r="H3" s="174"/>
    </row>
    <row r="4" spans="1:8" ht="14.25">
      <c r="A4" s="14"/>
      <c r="B4" s="14"/>
      <c r="C4" s="14"/>
      <c r="D4" s="14"/>
      <c r="E4" s="174" t="s">
        <v>507</v>
      </c>
      <c r="F4" s="174"/>
      <c r="G4" s="174"/>
      <c r="H4" s="174"/>
    </row>
    <row r="5" spans="1:8" ht="14.25">
      <c r="A5" s="14"/>
      <c r="B5" s="14"/>
      <c r="C5" s="14"/>
      <c r="D5" s="14"/>
      <c r="E5" s="14"/>
      <c r="F5" s="14"/>
      <c r="G5" s="14"/>
      <c r="H5" s="14"/>
    </row>
    <row r="6" spans="1:8" ht="14.25">
      <c r="A6" s="14"/>
      <c r="B6" s="14"/>
      <c r="C6" s="14"/>
      <c r="D6" s="14"/>
      <c r="E6" s="14"/>
      <c r="F6" s="14"/>
      <c r="G6" s="165" t="s">
        <v>508</v>
      </c>
      <c r="H6" s="166"/>
    </row>
    <row r="7" spans="1:8" ht="14.25">
      <c r="A7" s="14"/>
      <c r="B7" s="14"/>
      <c r="C7" s="14"/>
      <c r="D7" s="14"/>
      <c r="E7" s="14"/>
      <c r="F7" s="57" t="s">
        <v>509</v>
      </c>
      <c r="G7" s="175" t="s">
        <v>510</v>
      </c>
      <c r="H7" s="166"/>
    </row>
    <row r="8" spans="1:8" ht="14.25">
      <c r="A8" s="14"/>
      <c r="B8" s="14"/>
      <c r="C8" s="14"/>
      <c r="D8" s="14"/>
      <c r="E8" s="14"/>
      <c r="F8" s="14"/>
      <c r="G8" s="165">
        <f>IF(Source!AT15&lt;&gt;"",Source!AT15,"")</f>
      </c>
      <c r="H8" s="166"/>
    </row>
    <row r="9" spans="1:8" ht="14.25">
      <c r="A9" s="14" t="s">
        <v>511</v>
      </c>
      <c r="B9" s="14"/>
      <c r="C9" s="171">
        <f>IF(Source!BA15&lt;&gt;"",Source!BA15,IF(Source!AU15&lt;&gt;"",Source!AU15,""))</f>
      </c>
      <c r="D9" s="171"/>
      <c r="E9" s="171"/>
      <c r="F9" s="57" t="s">
        <v>512</v>
      </c>
      <c r="G9" s="172"/>
      <c r="H9" s="173"/>
    </row>
    <row r="10" spans="1:8" ht="14.25">
      <c r="A10" s="14"/>
      <c r="B10" s="14"/>
      <c r="C10" s="120" t="s">
        <v>513</v>
      </c>
      <c r="D10" s="120"/>
      <c r="E10" s="120"/>
      <c r="F10" s="14"/>
      <c r="G10" s="165">
        <f>IF(Source!AK15&lt;&gt;"",Source!AK15,"")</f>
      </c>
      <c r="H10" s="166"/>
    </row>
    <row r="11" spans="1:8" ht="14.25">
      <c r="A11" s="14" t="s">
        <v>514</v>
      </c>
      <c r="B11" s="14"/>
      <c r="C11" s="171" t="str">
        <f>IF(Source!AX12&lt;&gt;"",Source!AX12,IF(Source!AJ12&lt;&gt;"",Source!AJ12,""))</f>
        <v>ИПУ РАН</v>
      </c>
      <c r="D11" s="171"/>
      <c r="E11" s="171"/>
      <c r="F11" s="57" t="s">
        <v>512</v>
      </c>
      <c r="G11" s="172"/>
      <c r="H11" s="173"/>
    </row>
    <row r="12" spans="1:8" ht="14.25">
      <c r="A12" s="14"/>
      <c r="B12" s="14"/>
      <c r="C12" s="120" t="s">
        <v>513</v>
      </c>
      <c r="D12" s="120"/>
      <c r="E12" s="120"/>
      <c r="F12" s="14"/>
      <c r="G12" s="165">
        <f>IF(Source!AO15&lt;&gt;"",Source!AO15,"")</f>
      </c>
      <c r="H12" s="166"/>
    </row>
    <row r="13" spans="1:8" ht="14.25">
      <c r="A13" s="14" t="s">
        <v>515</v>
      </c>
      <c r="B13" s="14"/>
      <c r="C13" s="171">
        <f>IF(Source!AY12&lt;&gt;"",Source!AY12,IF(Source!AN12&lt;&gt;"",Source!AN12,""))</f>
      </c>
      <c r="D13" s="171"/>
      <c r="E13" s="171"/>
      <c r="F13" s="57" t="s">
        <v>512</v>
      </c>
      <c r="G13" s="172"/>
      <c r="H13" s="173"/>
    </row>
    <row r="14" spans="1:8" ht="14.25">
      <c r="A14" s="14"/>
      <c r="B14" s="14"/>
      <c r="C14" s="120" t="s">
        <v>513</v>
      </c>
      <c r="D14" s="120"/>
      <c r="E14" s="120"/>
      <c r="F14" s="14"/>
      <c r="G14" s="165">
        <f>IF(Source!CO15&lt;&gt;"",Source!CO15,"")</f>
      </c>
      <c r="H14" s="166"/>
    </row>
    <row r="15" spans="1:31" ht="28.5">
      <c r="A15" s="14" t="s">
        <v>516</v>
      </c>
      <c r="B15" s="14"/>
      <c r="C15" s="171" t="s">
        <v>4</v>
      </c>
      <c r="D15" s="171"/>
      <c r="E15" s="171"/>
      <c r="F15" s="14"/>
      <c r="G15" s="172"/>
      <c r="H15" s="173"/>
      <c r="AE15" s="55" t="s">
        <v>4</v>
      </c>
    </row>
    <row r="16" spans="1:8" ht="14.25">
      <c r="A16" s="14"/>
      <c r="B16" s="14"/>
      <c r="C16" s="120" t="s">
        <v>517</v>
      </c>
      <c r="D16" s="120"/>
      <c r="E16" s="120"/>
      <c r="F16" s="14"/>
      <c r="G16" s="165">
        <f>IF(Source!CP15&lt;&gt;"",Source!CP15,"")</f>
      </c>
      <c r="H16" s="166"/>
    </row>
    <row r="17" spans="1:31" ht="28.5">
      <c r="A17" s="14" t="s">
        <v>518</v>
      </c>
      <c r="B17" s="14"/>
      <c r="C17" s="171" t="str">
        <f>IF(Source!G12&lt;&gt;"Новый объект",Source!G12,"")</f>
        <v>Выполнение работ по замене светопрозрачных перегородок входа в блок 1 строения № 1 ИПУ РАН</v>
      </c>
      <c r="D17" s="171"/>
      <c r="E17" s="171"/>
      <c r="F17" s="14"/>
      <c r="G17" s="169"/>
      <c r="H17" s="170"/>
      <c r="AE17" s="55" t="str">
        <f>IF(Source!G12&lt;&gt;"Новый объект",Source!G12,"")</f>
        <v>Выполнение работ по замене светопрозрачных перегородок входа в блок 1 строения № 1 ИПУ РАН</v>
      </c>
    </row>
    <row r="18" spans="1:8" ht="14.25">
      <c r="A18" s="14"/>
      <c r="B18" s="14"/>
      <c r="C18" s="120" t="s">
        <v>519</v>
      </c>
      <c r="D18" s="120"/>
      <c r="E18" s="120"/>
      <c r="F18" s="14"/>
      <c r="G18" s="14"/>
      <c r="H18" s="14"/>
    </row>
    <row r="19" spans="1:8" ht="14.25">
      <c r="A19" s="14"/>
      <c r="B19" s="14"/>
      <c r="C19" s="14"/>
      <c r="D19" s="163" t="s">
        <v>520</v>
      </c>
      <c r="E19" s="163"/>
      <c r="F19" s="164"/>
      <c r="G19" s="165">
        <f>IF(Source!CQ15&lt;&gt;"",Source!CQ15,"")</f>
      </c>
      <c r="H19" s="166"/>
    </row>
    <row r="20" spans="1:8" ht="14.25">
      <c r="A20" s="14"/>
      <c r="B20" s="14"/>
      <c r="C20" s="14"/>
      <c r="D20" s="163" t="s">
        <v>521</v>
      </c>
      <c r="E20" s="164"/>
      <c r="F20" s="91" t="s">
        <v>522</v>
      </c>
      <c r="G20" s="165">
        <f>IF(Source!CR15&lt;&gt;"",Source!CR15,"")</f>
      </c>
      <c r="H20" s="166"/>
    </row>
    <row r="21" spans="1:8" ht="14.25">
      <c r="A21" s="14"/>
      <c r="B21" s="14"/>
      <c r="C21" s="14"/>
      <c r="D21" s="14"/>
      <c r="E21" s="14"/>
      <c r="F21" s="42" t="s">
        <v>523</v>
      </c>
      <c r="G21" s="167">
        <f>IF(Source!CS15&lt;&gt;0,Source!CS15,"")</f>
      </c>
      <c r="H21" s="168"/>
    </row>
    <row r="22" spans="1:8" ht="14.25">
      <c r="A22" s="14"/>
      <c r="B22" s="14"/>
      <c r="C22" s="14"/>
      <c r="D22" s="14"/>
      <c r="E22" s="14"/>
      <c r="F22" s="57" t="s">
        <v>524</v>
      </c>
      <c r="G22" s="160">
        <f>IF(Source!CT15&lt;&gt;"",Source!CT15,"")</f>
      </c>
      <c r="H22" s="161"/>
    </row>
    <row r="23" spans="1:8" ht="14.25">
      <c r="A23" s="14"/>
      <c r="B23" s="14"/>
      <c r="C23" s="14"/>
      <c r="D23" s="14"/>
      <c r="E23" s="14"/>
      <c r="F23" s="14"/>
      <c r="G23" s="14"/>
      <c r="H23" s="14"/>
    </row>
    <row r="24" spans="1:8" ht="14.25">
      <c r="A24" s="14"/>
      <c r="B24" s="14"/>
      <c r="C24" s="14"/>
      <c r="D24" s="125" t="s">
        <v>525</v>
      </c>
      <c r="E24" s="128" t="s">
        <v>526</v>
      </c>
      <c r="F24" s="128" t="s">
        <v>527</v>
      </c>
      <c r="G24" s="130"/>
      <c r="H24" s="14"/>
    </row>
    <row r="25" spans="1:8" ht="14.25">
      <c r="A25" s="14"/>
      <c r="B25" s="14"/>
      <c r="C25" s="14"/>
      <c r="D25" s="127"/>
      <c r="E25" s="131"/>
      <c r="F25" s="92" t="s">
        <v>528</v>
      </c>
      <c r="G25" s="93" t="s">
        <v>529</v>
      </c>
      <c r="H25" s="14"/>
    </row>
    <row r="26" spans="1:8" ht="14.25">
      <c r="A26" s="14"/>
      <c r="B26" s="14"/>
      <c r="C26" s="14"/>
      <c r="D26" s="94">
        <f>IF(Source!CN15&lt;&gt;"",Source!CN15,"")</f>
      </c>
      <c r="E26" s="95">
        <f>IF(Source!CX15&lt;&gt;0,Source!CX15,"")</f>
      </c>
      <c r="F26" s="95">
        <f>IF(Source!CV15&lt;&gt;0,Source!CV15,"")</f>
      </c>
      <c r="G26" s="95">
        <f>IF(Source!CW15&lt;&gt;0,Source!CW15,"")</f>
      </c>
      <c r="H26" s="14"/>
    </row>
    <row r="27" spans="1:8" ht="14.25">
      <c r="A27" s="14"/>
      <c r="B27" s="14"/>
      <c r="C27" s="14"/>
      <c r="D27" s="14"/>
      <c r="E27" s="14"/>
      <c r="F27" s="14"/>
      <c r="G27" s="14"/>
      <c r="H27" s="14"/>
    </row>
    <row r="28" spans="1:8" ht="18">
      <c r="A28" s="162" t="s">
        <v>530</v>
      </c>
      <c r="B28" s="162"/>
      <c r="C28" s="162"/>
      <c r="D28" s="162"/>
      <c r="E28" s="162"/>
      <c r="F28" s="162"/>
      <c r="G28" s="162"/>
      <c r="H28" s="162"/>
    </row>
    <row r="29" spans="1:8" ht="18">
      <c r="A29" s="162" t="s">
        <v>531</v>
      </c>
      <c r="B29" s="162"/>
      <c r="C29" s="162"/>
      <c r="D29" s="162"/>
      <c r="E29" s="162"/>
      <c r="F29" s="162"/>
      <c r="G29" s="162"/>
      <c r="H29" s="162"/>
    </row>
    <row r="30" spans="1:8" ht="14.25">
      <c r="A30" s="14"/>
      <c r="B30" s="14"/>
      <c r="C30" s="14"/>
      <c r="D30" s="14"/>
      <c r="E30" s="14"/>
      <c r="F30" s="14"/>
      <c r="G30" s="14"/>
      <c r="H30" s="14"/>
    </row>
    <row r="31" spans="1:8" ht="15">
      <c r="A31" s="11" t="s">
        <v>532</v>
      </c>
      <c r="B31" s="14"/>
      <c r="C31" s="14"/>
      <c r="D31" s="14"/>
      <c r="E31" s="14"/>
      <c r="F31" s="158">
        <f>ROUND((Source!P200/1000),2)</f>
        <v>1839.99</v>
      </c>
      <c r="G31" s="158"/>
      <c r="H31" s="14" t="s">
        <v>533</v>
      </c>
    </row>
    <row r="32" spans="1:8" ht="14.25">
      <c r="A32" s="14"/>
      <c r="B32" s="14"/>
      <c r="C32" s="14"/>
      <c r="D32" s="14"/>
      <c r="E32" s="14"/>
      <c r="F32" s="14"/>
      <c r="G32" s="14"/>
      <c r="H32" s="14"/>
    </row>
    <row r="33" spans="1:8" ht="14.25">
      <c r="A33" s="159" t="s">
        <v>534</v>
      </c>
      <c r="B33" s="159"/>
      <c r="C33" s="159" t="s">
        <v>535</v>
      </c>
      <c r="D33" s="159" t="s">
        <v>536</v>
      </c>
      <c r="E33" s="159" t="s">
        <v>414</v>
      </c>
      <c r="F33" s="159" t="s">
        <v>537</v>
      </c>
      <c r="G33" s="159"/>
      <c r="H33" s="159"/>
    </row>
    <row r="34" spans="1:8" ht="57">
      <c r="A34" s="82" t="s">
        <v>538</v>
      </c>
      <c r="B34" s="82" t="s">
        <v>539</v>
      </c>
      <c r="C34" s="159"/>
      <c r="D34" s="159"/>
      <c r="E34" s="159"/>
      <c r="F34" s="82" t="s">
        <v>415</v>
      </c>
      <c r="G34" s="82" t="s">
        <v>540</v>
      </c>
      <c r="H34" s="82" t="s">
        <v>541</v>
      </c>
    </row>
    <row r="35" spans="1:8" ht="14.25">
      <c r="A35" s="82">
        <v>1</v>
      </c>
      <c r="B35" s="82">
        <v>2</v>
      </c>
      <c r="C35" s="82">
        <v>3</v>
      </c>
      <c r="D35" s="82">
        <v>4</v>
      </c>
      <c r="E35" s="82">
        <v>5</v>
      </c>
      <c r="F35" s="82">
        <v>6</v>
      </c>
      <c r="G35" s="82">
        <v>7</v>
      </c>
      <c r="H35" s="82">
        <v>8</v>
      </c>
    </row>
    <row r="37" spans="1:8" ht="16.5">
      <c r="A37" s="119" t="str">
        <f>CONCATENATE("Локальная смета: ",IF(Source!G20&lt;&gt;"Новая локальная смета",Source!G20,""))</f>
        <v>Локальная смета: </v>
      </c>
      <c r="B37" s="119"/>
      <c r="C37" s="119"/>
      <c r="D37" s="119"/>
      <c r="E37" s="119"/>
      <c r="F37" s="119"/>
      <c r="G37" s="119"/>
      <c r="H37" s="119"/>
    </row>
    <row r="39" spans="1:8" ht="16.5">
      <c r="A39" s="119" t="str">
        <f>CONCATENATE("Раздел: ",IF(Source!G24&lt;&gt;"Новый раздел",Source!G24,""))</f>
        <v>Раздел: Ремонтные работы</v>
      </c>
      <c r="B39" s="119"/>
      <c r="C39" s="119"/>
      <c r="D39" s="119"/>
      <c r="E39" s="119"/>
      <c r="F39" s="119"/>
      <c r="G39" s="119"/>
      <c r="H39" s="119"/>
    </row>
    <row r="40" spans="1:28" ht="57">
      <c r="A40" s="74">
        <v>1</v>
      </c>
      <c r="B40" s="74">
        <v>1</v>
      </c>
      <c r="C40" s="74" t="str">
        <f>Source!G29</f>
        <v>Демонтаж перегородок: из алюминиевых сплавов сборно-разборных с остеклением (Применительно)</v>
      </c>
      <c r="D40" s="74" t="str">
        <f>Source!F29</f>
        <v>09-03-046-01</v>
      </c>
      <c r="E40" s="58" t="str">
        <f>Source!H29</f>
        <v>100 м2</v>
      </c>
      <c r="F40" s="14">
        <f>Source!I29</f>
        <v>0.32</v>
      </c>
      <c r="G40" s="44">
        <f>Source!AB29</f>
        <v>2501.16</v>
      </c>
      <c r="H40" s="44">
        <f>Source!O29</f>
        <v>26780.74</v>
      </c>
      <c r="T40">
        <f>Source!O29</f>
        <v>26780.74</v>
      </c>
      <c r="U40">
        <f>Source!P29</f>
        <v>0</v>
      </c>
      <c r="V40">
        <f>Source!S29</f>
        <v>25074.8</v>
      </c>
      <c r="W40">
        <f>Source!Q29</f>
        <v>1705.94</v>
      </c>
      <c r="X40">
        <f>Source!R29</f>
        <v>275.66</v>
      </c>
      <c r="Y40">
        <f>Source!U29</f>
        <v>66.752</v>
      </c>
      <c r="Z40">
        <f>Source!V29</f>
        <v>0.55552</v>
      </c>
      <c r="AA40">
        <f>Source!X29</f>
        <v>23575.93</v>
      </c>
      <c r="AB40">
        <f>Source!Y29</f>
        <v>15717.29</v>
      </c>
    </row>
    <row r="41" spans="3:8" ht="14.25">
      <c r="C41" s="46" t="str">
        <f>"Объем: "&amp;Source!I29&amp;"=32/"&amp;"100"</f>
        <v>Объем: 0,32=32/100</v>
      </c>
      <c r="F41" s="14"/>
      <c r="G41" s="14"/>
      <c r="H41" s="14"/>
    </row>
    <row r="42" spans="3:4" ht="63.75">
      <c r="C42" s="46" t="s">
        <v>542</v>
      </c>
      <c r="D42" s="46" t="str">
        <f>Source!BO29</f>
        <v>Письмо Минстроя России от 28.08.2023 № 52355-ИФ/09</v>
      </c>
    </row>
    <row r="43" spans="3:4" ht="12.75">
      <c r="C43" s="46" t="s">
        <v>543</v>
      </c>
      <c r="D43" s="46">
        <f>Source!BA29</f>
        <v>37.34</v>
      </c>
    </row>
    <row r="44" spans="3:4" ht="12.75">
      <c r="C44" s="46" t="s">
        <v>544</v>
      </c>
      <c r="D44" s="46">
        <f>Source!BB29</f>
        <v>13.24</v>
      </c>
    </row>
    <row r="45" spans="3:4" ht="12.75">
      <c r="C45" s="46" t="s">
        <v>545</v>
      </c>
      <c r="D45" s="46">
        <f>Source!BC29</f>
        <v>6.72</v>
      </c>
    </row>
    <row r="46" spans="3:4" ht="12.75">
      <c r="C46" s="46" t="s">
        <v>546</v>
      </c>
      <c r="D46" s="46">
        <f>Source!BS29</f>
        <v>37.34</v>
      </c>
    </row>
    <row r="47" spans="3:8" ht="12.75">
      <c r="C47" s="46" t="s">
        <v>547</v>
      </c>
      <c r="D47" s="157" t="s">
        <v>29</v>
      </c>
      <c r="E47" s="157"/>
      <c r="F47" s="157"/>
      <c r="G47" s="157"/>
      <c r="H47" s="157"/>
    </row>
    <row r="48" spans="3:8" ht="12.75">
      <c r="C48" s="46" t="s">
        <v>548</v>
      </c>
      <c r="D48" s="157" t="s">
        <v>30</v>
      </c>
      <c r="E48" s="157"/>
      <c r="F48" s="157"/>
      <c r="G48" s="157"/>
      <c r="H48" s="157"/>
    </row>
    <row r="49" spans="3:8" ht="12.75">
      <c r="C49" s="46" t="s">
        <v>549</v>
      </c>
      <c r="D49" s="157" t="s">
        <v>30</v>
      </c>
      <c r="E49" s="157"/>
      <c r="F49" s="157"/>
      <c r="G49" s="157"/>
      <c r="H49" s="157"/>
    </row>
    <row r="50" spans="3:8" ht="12.75">
      <c r="C50" s="46" t="s">
        <v>550</v>
      </c>
      <c r="D50" s="157" t="s">
        <v>30</v>
      </c>
      <c r="E50" s="157"/>
      <c r="F50" s="157"/>
      <c r="G50" s="157"/>
      <c r="H50" s="157"/>
    </row>
    <row r="51" spans="3:8" ht="12.75">
      <c r="C51" s="46" t="s">
        <v>551</v>
      </c>
      <c r="D51" s="157" t="s">
        <v>30</v>
      </c>
      <c r="E51" s="157"/>
      <c r="F51" s="157"/>
      <c r="G51" s="157"/>
      <c r="H51" s="157"/>
    </row>
    <row r="52" spans="3:8" ht="12.75">
      <c r="C52" s="46" t="s">
        <v>552</v>
      </c>
      <c r="D52" s="157" t="s">
        <v>30</v>
      </c>
      <c r="E52" s="157"/>
      <c r="F52" s="157"/>
      <c r="G52" s="157"/>
      <c r="H52" s="157"/>
    </row>
    <row r="53" spans="1:28" ht="28.5">
      <c r="A53" s="74">
        <v>2</v>
      </c>
      <c r="B53" s="74">
        <v>2</v>
      </c>
      <c r="C53" s="74" t="str">
        <f>Source!G31</f>
        <v>Срезка анкерных болтов (Применительно)</v>
      </c>
      <c r="D53" s="74" t="str">
        <f>Source!F31</f>
        <v>06-03-004-01</v>
      </c>
      <c r="E53" s="58" t="str">
        <f>Source!H31</f>
        <v>т</v>
      </c>
      <c r="F53" s="14">
        <f>Source!I31</f>
        <v>0.01</v>
      </c>
      <c r="G53" s="44">
        <f>Source!AB31</f>
        <v>1828.21</v>
      </c>
      <c r="H53" s="44">
        <f>Source!O31</f>
        <v>674.01</v>
      </c>
      <c r="T53">
        <f>Source!O31</f>
        <v>674.01</v>
      </c>
      <c r="U53">
        <f>Source!P31</f>
        <v>0</v>
      </c>
      <c r="V53">
        <f>Source!S31</f>
        <v>669.27</v>
      </c>
      <c r="W53">
        <f>Source!Q31</f>
        <v>4.74</v>
      </c>
      <c r="X53">
        <f>Source!R31</f>
        <v>1.91</v>
      </c>
      <c r="Y53">
        <f>Source!U31</f>
        <v>2.0229999999999997</v>
      </c>
      <c r="Z53">
        <f>Source!V31</f>
        <v>0.00413</v>
      </c>
      <c r="AA53">
        <f>Source!X31</f>
        <v>684.6</v>
      </c>
      <c r="AB53">
        <f>Source!Y31</f>
        <v>389.28</v>
      </c>
    </row>
    <row r="54" spans="3:8" ht="63.75">
      <c r="C54" s="46" t="s">
        <v>542</v>
      </c>
      <c r="D54" s="46" t="str">
        <f>Source!BO31</f>
        <v>Письмо Минстроя России от 28.08.2023 № 52355-ИФ/09</v>
      </c>
      <c r="F54" s="14"/>
      <c r="G54" s="14"/>
      <c r="H54" s="14"/>
    </row>
    <row r="55" spans="3:4" ht="12.75">
      <c r="C55" s="46" t="s">
        <v>543</v>
      </c>
      <c r="D55" s="46">
        <f>Source!BA31</f>
        <v>37.34</v>
      </c>
    </row>
    <row r="56" spans="3:4" ht="12.75">
      <c r="C56" s="46" t="s">
        <v>544</v>
      </c>
      <c r="D56" s="46">
        <f>Source!BB31</f>
        <v>13.24</v>
      </c>
    </row>
    <row r="57" spans="3:4" ht="12.75">
      <c r="C57" s="46" t="s">
        <v>545</v>
      </c>
      <c r="D57" s="46">
        <f>Source!BC31</f>
        <v>6.72</v>
      </c>
    </row>
    <row r="58" spans="3:4" ht="12.75">
      <c r="C58" s="46" t="s">
        <v>546</v>
      </c>
      <c r="D58" s="46">
        <f>Source!BS31</f>
        <v>37.34</v>
      </c>
    </row>
    <row r="59" spans="3:8" ht="12.75">
      <c r="C59" s="46" t="s">
        <v>547</v>
      </c>
      <c r="D59" s="157" t="s">
        <v>29</v>
      </c>
      <c r="E59" s="157"/>
      <c r="F59" s="157"/>
      <c r="G59" s="157"/>
      <c r="H59" s="157"/>
    </row>
    <row r="60" spans="3:8" ht="12.75">
      <c r="C60" s="46" t="s">
        <v>548</v>
      </c>
      <c r="D60" s="157" t="s">
        <v>30</v>
      </c>
      <c r="E60" s="157"/>
      <c r="F60" s="157"/>
      <c r="G60" s="157"/>
      <c r="H60" s="157"/>
    </row>
    <row r="61" spans="3:8" ht="12.75">
      <c r="C61" s="46" t="s">
        <v>549</v>
      </c>
      <c r="D61" s="157" t="s">
        <v>30</v>
      </c>
      <c r="E61" s="157"/>
      <c r="F61" s="157"/>
      <c r="G61" s="157"/>
      <c r="H61" s="157"/>
    </row>
    <row r="62" spans="3:8" ht="12.75">
      <c r="C62" s="46" t="s">
        <v>550</v>
      </c>
      <c r="D62" s="157" t="s">
        <v>30</v>
      </c>
      <c r="E62" s="157"/>
      <c r="F62" s="157"/>
      <c r="G62" s="157"/>
      <c r="H62" s="157"/>
    </row>
    <row r="63" spans="3:8" ht="12.75">
      <c r="C63" s="46" t="s">
        <v>551</v>
      </c>
      <c r="D63" s="157" t="s">
        <v>30</v>
      </c>
      <c r="E63" s="157"/>
      <c r="F63" s="157"/>
      <c r="G63" s="157"/>
      <c r="H63" s="157"/>
    </row>
    <row r="64" spans="3:8" ht="12.75">
      <c r="C64" s="46" t="s">
        <v>552</v>
      </c>
      <c r="D64" s="157" t="s">
        <v>30</v>
      </c>
      <c r="E64" s="157"/>
      <c r="F64" s="157"/>
      <c r="G64" s="157"/>
      <c r="H64" s="157"/>
    </row>
    <row r="65" spans="1:28" ht="57">
      <c r="A65" s="74">
        <v>3</v>
      </c>
      <c r="B65" s="74">
        <v>3</v>
      </c>
      <c r="C65" s="74" t="str">
        <f>Source!G37</f>
        <v>Сверление в железобетонных конструкциях вертикальных отверстий глубиной 200 мм диаметром: 20 мм (Применительно)</v>
      </c>
      <c r="D65" s="74" t="str">
        <f>Source!F37</f>
        <v>46-03-001-01</v>
      </c>
      <c r="E65" s="58" t="str">
        <f>Source!H37</f>
        <v>100 отверстий</v>
      </c>
      <c r="F65" s="14">
        <f>Source!I37</f>
        <v>0.16</v>
      </c>
      <c r="G65" s="44">
        <f>Source!AB37</f>
        <v>735.48</v>
      </c>
      <c r="H65" s="44">
        <f>Source!O37</f>
        <v>2198.67</v>
      </c>
      <c r="T65">
        <f>Source!O37</f>
        <v>2198.67</v>
      </c>
      <c r="U65">
        <f>Source!P37</f>
        <v>1.16</v>
      </c>
      <c r="V65">
        <f>Source!S37</f>
        <v>994.32</v>
      </c>
      <c r="W65">
        <f>Source!Q37</f>
        <v>1203.19</v>
      </c>
      <c r="X65">
        <f>Source!R37</f>
        <v>1261.32</v>
      </c>
      <c r="Y65">
        <f>Source!U37</f>
        <v>2.7680000000000002</v>
      </c>
      <c r="Z65">
        <f>Source!V37</f>
        <v>2.912</v>
      </c>
      <c r="AA65">
        <f>Source!X37</f>
        <v>2323.31</v>
      </c>
      <c r="AB65">
        <f>Source!Y37</f>
        <v>1330.83</v>
      </c>
    </row>
    <row r="66" spans="3:8" ht="14.25">
      <c r="C66" s="46" t="str">
        <f>"Объем: "&amp;Source!I37&amp;"=16/"&amp;"100"</f>
        <v>Объем: 0,16=16/100</v>
      </c>
      <c r="F66" s="14"/>
      <c r="G66" s="14"/>
      <c r="H66" s="14"/>
    </row>
    <row r="67" spans="3:4" ht="63.75">
      <c r="C67" s="46" t="s">
        <v>542</v>
      </c>
      <c r="D67" s="46" t="str">
        <f>Source!BO37</f>
        <v>Письмо Минстроя России от 28.08.2023 № 52355-ИФ/09</v>
      </c>
    </row>
    <row r="68" spans="3:4" ht="12.75">
      <c r="C68" s="46" t="s">
        <v>543</v>
      </c>
      <c r="D68" s="46">
        <f>Source!BA37</f>
        <v>37.34</v>
      </c>
    </row>
    <row r="69" spans="3:4" ht="12.75">
      <c r="C69" s="46" t="s">
        <v>544</v>
      </c>
      <c r="D69" s="46">
        <f>Source!BB37</f>
        <v>13.24</v>
      </c>
    </row>
    <row r="70" spans="3:4" ht="12.75">
      <c r="C70" s="46" t="s">
        <v>545</v>
      </c>
      <c r="D70" s="46">
        <f>Source!BC37</f>
        <v>6.72</v>
      </c>
    </row>
    <row r="71" spans="3:4" ht="12.75">
      <c r="C71" s="46" t="s">
        <v>546</v>
      </c>
      <c r="D71" s="46">
        <f>Source!BS37</f>
        <v>37.34</v>
      </c>
    </row>
    <row r="72" spans="1:28" ht="28.5">
      <c r="A72" s="74" t="s">
        <v>66</v>
      </c>
      <c r="B72" s="74" t="s">
        <v>66</v>
      </c>
      <c r="C72" s="74" t="str">
        <f>Source!G39</f>
        <v>Бур с ограничителем TE-C-HDA-B 22х155 для анкеров HDA</v>
      </c>
      <c r="D72" s="74" t="str">
        <f>Source!F39</f>
        <v>01.7.17.09-0001</v>
      </c>
      <c r="E72" s="58" t="str">
        <f>Source!H39</f>
        <v>ШТ</v>
      </c>
      <c r="F72" s="14">
        <f>Source!I39</f>
        <v>1.5</v>
      </c>
      <c r="G72" s="44">
        <f>Source!AB39</f>
        <v>839.32</v>
      </c>
      <c r="H72" s="44">
        <f>Source!O39</f>
        <v>8460.35</v>
      </c>
      <c r="T72">
        <f>Source!O39</f>
        <v>8460.35</v>
      </c>
      <c r="U72">
        <f>Source!P39</f>
        <v>8460.35</v>
      </c>
      <c r="V72">
        <f>Source!S39</f>
        <v>0</v>
      </c>
      <c r="W72">
        <f>Source!Q39</f>
        <v>0</v>
      </c>
      <c r="X72">
        <f>Source!R39</f>
        <v>0</v>
      </c>
      <c r="Y72">
        <f>Source!U39</f>
        <v>0</v>
      </c>
      <c r="Z72">
        <f>Source!V39</f>
        <v>0</v>
      </c>
      <c r="AA72">
        <f>Source!X39</f>
        <v>0</v>
      </c>
      <c r="AB72">
        <f>Source!Y39</f>
        <v>0</v>
      </c>
    </row>
    <row r="73" spans="3:8" ht="63.75">
      <c r="C73" s="46" t="s">
        <v>542</v>
      </c>
      <c r="D73" s="46" t="str">
        <f>Source!BO39</f>
        <v>Письмо Минстроя России от 28.08.2023 № 52355-ИФ/09</v>
      </c>
      <c r="F73" s="14"/>
      <c r="G73" s="14"/>
      <c r="H73" s="14"/>
    </row>
    <row r="74" spans="3:4" ht="12.75">
      <c r="C74" s="46" t="s">
        <v>545</v>
      </c>
      <c r="D74" s="46">
        <f>Source!BC39</f>
        <v>6.72</v>
      </c>
    </row>
    <row r="75" spans="1:28" ht="28.5">
      <c r="A75" s="74">
        <v>4</v>
      </c>
      <c r="B75" s="74">
        <v>4</v>
      </c>
      <c r="C75" s="74" t="str">
        <f>Source!G41</f>
        <v>Установка анкерных болтов: в готовые гнезда с заделкой длиной до 1 м</v>
      </c>
      <c r="D75" s="74" t="str">
        <f>Source!F41</f>
        <v>06-03-004-01</v>
      </c>
      <c r="E75" s="58" t="str">
        <f>Source!H41</f>
        <v>т</v>
      </c>
      <c r="F75" s="14">
        <f>Source!I41</f>
        <v>0.01</v>
      </c>
      <c r="G75" s="44">
        <f>Source!AB41</f>
        <v>13112.07</v>
      </c>
      <c r="H75" s="44">
        <f>Source!O41</f>
        <v>1786.94</v>
      </c>
      <c r="T75">
        <f>Source!O41</f>
        <v>1786.94</v>
      </c>
      <c r="U75">
        <f>Source!P41</f>
        <v>678.95</v>
      </c>
      <c r="V75">
        <f>Source!S41</f>
        <v>1099.52</v>
      </c>
      <c r="W75">
        <f>Source!Q41</f>
        <v>8.47</v>
      </c>
      <c r="X75">
        <f>Source!R41</f>
        <v>3.42</v>
      </c>
      <c r="Y75">
        <f>Source!U41</f>
        <v>3.3234999999999997</v>
      </c>
      <c r="Z75">
        <f>Source!V41</f>
        <v>0.007375</v>
      </c>
      <c r="AA75">
        <f>Source!X41</f>
        <v>1125</v>
      </c>
      <c r="AB75">
        <f>Source!Y41</f>
        <v>543.75</v>
      </c>
    </row>
    <row r="76" spans="3:8" ht="63.75">
      <c r="C76" s="46" t="s">
        <v>542</v>
      </c>
      <c r="D76" s="46" t="str">
        <f>Source!BO41</f>
        <v>Письмо Минстроя России от 28.08.2023 № 52355-ИФ/09</v>
      </c>
      <c r="F76" s="14"/>
      <c r="G76" s="14"/>
      <c r="H76" s="14"/>
    </row>
    <row r="77" spans="3:4" ht="12.75">
      <c r="C77" s="46" t="s">
        <v>543</v>
      </c>
      <c r="D77" s="46">
        <f>Source!BA41</f>
        <v>37.34</v>
      </c>
    </row>
    <row r="78" spans="3:4" ht="12.75">
      <c r="C78" s="46" t="s">
        <v>544</v>
      </c>
      <c r="D78" s="46">
        <f>Source!BB41</f>
        <v>13.24</v>
      </c>
    </row>
    <row r="79" spans="3:4" ht="12.75">
      <c r="C79" s="46" t="s">
        <v>545</v>
      </c>
      <c r="D79" s="46">
        <f>Source!BC41</f>
        <v>6.72</v>
      </c>
    </row>
    <row r="80" spans="3:4" ht="12.75">
      <c r="C80" s="46" t="s">
        <v>546</v>
      </c>
      <c r="D80" s="46">
        <f>Source!BS41</f>
        <v>37.34</v>
      </c>
    </row>
    <row r="81" spans="3:8" ht="12.75">
      <c r="C81" s="46" t="s">
        <v>548</v>
      </c>
      <c r="D81" s="157" t="s">
        <v>72</v>
      </c>
      <c r="E81" s="157"/>
      <c r="F81" s="157"/>
      <c r="G81" s="157"/>
      <c r="H81" s="157"/>
    </row>
    <row r="82" spans="3:8" ht="12.75">
      <c r="C82" s="46" t="s">
        <v>549</v>
      </c>
      <c r="D82" s="157" t="s">
        <v>72</v>
      </c>
      <c r="E82" s="157"/>
      <c r="F82" s="157"/>
      <c r="G82" s="157"/>
      <c r="H82" s="157"/>
    </row>
    <row r="83" spans="3:8" ht="12.75">
      <c r="C83" s="46" t="s">
        <v>550</v>
      </c>
      <c r="D83" s="157" t="s">
        <v>73</v>
      </c>
      <c r="E83" s="157"/>
      <c r="F83" s="157"/>
      <c r="G83" s="157"/>
      <c r="H83" s="157"/>
    </row>
    <row r="84" spans="3:8" ht="12.75">
      <c r="C84" s="46" t="s">
        <v>551</v>
      </c>
      <c r="D84" s="157" t="s">
        <v>73</v>
      </c>
      <c r="E84" s="157"/>
      <c r="F84" s="157"/>
      <c r="G84" s="157"/>
      <c r="H84" s="157"/>
    </row>
    <row r="85" spans="3:8" ht="12.75">
      <c r="C85" s="46" t="s">
        <v>552</v>
      </c>
      <c r="D85" s="157" t="s">
        <v>72</v>
      </c>
      <c r="E85" s="157"/>
      <c r="F85" s="157"/>
      <c r="G85" s="157"/>
      <c r="H85" s="157"/>
    </row>
    <row r="86" spans="3:8" ht="12.75">
      <c r="C86" s="46" t="s">
        <v>553</v>
      </c>
      <c r="D86" s="157" t="s">
        <v>74</v>
      </c>
      <c r="E86" s="157"/>
      <c r="F86" s="157"/>
      <c r="G86" s="157"/>
      <c r="H86" s="157"/>
    </row>
    <row r="87" spans="1:28" ht="42.75">
      <c r="A87" s="74">
        <v>5</v>
      </c>
      <c r="B87" s="74">
        <v>5</v>
      </c>
      <c r="C87" s="74" t="str">
        <f>Source!G43</f>
        <v>Монтаж перегородок: из алюминиевых сплавов сборно-разборных с остеклением</v>
      </c>
      <c r="D87" s="74" t="str">
        <f>Source!F43</f>
        <v>09-03-046-01</v>
      </c>
      <c r="E87" s="58" t="str">
        <f>Source!H43</f>
        <v>100 м2</v>
      </c>
      <c r="F87" s="14">
        <f>Source!I43</f>
        <v>0.259</v>
      </c>
      <c r="G87" s="44">
        <f>Source!AB43</f>
        <v>4442.43</v>
      </c>
      <c r="H87" s="44">
        <f>Source!O43</f>
        <v>36287.27</v>
      </c>
      <c r="T87">
        <f>Source!O43</f>
        <v>36287.27</v>
      </c>
      <c r="U87">
        <f>Source!P43</f>
        <v>480.16</v>
      </c>
      <c r="V87">
        <f>Source!S43</f>
        <v>33341.56</v>
      </c>
      <c r="W87">
        <f>Source!Q43</f>
        <v>2465.55</v>
      </c>
      <c r="X87">
        <f>Source!R43</f>
        <v>398.35</v>
      </c>
      <c r="Y87">
        <f>Source!U43</f>
        <v>88.7593</v>
      </c>
      <c r="Z87">
        <f>Source!V43</f>
        <v>0.8029000000000001</v>
      </c>
      <c r="AA87">
        <f>Source!X43</f>
        <v>31378.12</v>
      </c>
      <c r="AB87">
        <f>Source!Y43</f>
        <v>17780.93</v>
      </c>
    </row>
    <row r="88" spans="3:8" ht="14.25">
      <c r="C88" s="46" t="str">
        <f>"Объем: "&amp;Source!I43&amp;"=25,9/"&amp;"100"</f>
        <v>Объем: 0,259=25,9/100</v>
      </c>
      <c r="F88" s="14"/>
      <c r="G88" s="14"/>
      <c r="H88" s="14"/>
    </row>
    <row r="89" spans="3:4" ht="63.75">
      <c r="C89" s="46" t="s">
        <v>542</v>
      </c>
      <c r="D89" s="46" t="str">
        <f>Source!BO43</f>
        <v>Письмо Минстроя России от 28.08.2023 № 52355-ИФ/09</v>
      </c>
    </row>
    <row r="90" spans="3:4" ht="12.75">
      <c r="C90" s="46" t="s">
        <v>543</v>
      </c>
      <c r="D90" s="46">
        <f>Source!BA43</f>
        <v>37.34</v>
      </c>
    </row>
    <row r="91" spans="3:4" ht="12.75">
      <c r="C91" s="46" t="s">
        <v>544</v>
      </c>
      <c r="D91" s="46">
        <f>Source!BB43</f>
        <v>13.24</v>
      </c>
    </row>
    <row r="92" spans="3:4" ht="12.75">
      <c r="C92" s="46" t="s">
        <v>545</v>
      </c>
      <c r="D92" s="46">
        <f>Source!BC43</f>
        <v>6.72</v>
      </c>
    </row>
    <row r="93" spans="3:4" ht="12.75">
      <c r="C93" s="46" t="s">
        <v>546</v>
      </c>
      <c r="D93" s="46">
        <f>Source!BS43</f>
        <v>37.34</v>
      </c>
    </row>
    <row r="94" spans="3:8" ht="12.75">
      <c r="C94" s="46" t="s">
        <v>548</v>
      </c>
      <c r="D94" s="157" t="s">
        <v>72</v>
      </c>
      <c r="E94" s="157"/>
      <c r="F94" s="157"/>
      <c r="G94" s="157"/>
      <c r="H94" s="157"/>
    </row>
    <row r="95" spans="3:8" ht="12.75">
      <c r="C95" s="46" t="s">
        <v>549</v>
      </c>
      <c r="D95" s="157" t="s">
        <v>72</v>
      </c>
      <c r="E95" s="157"/>
      <c r="F95" s="157"/>
      <c r="G95" s="157"/>
      <c r="H95" s="157"/>
    </row>
    <row r="96" spans="3:8" ht="12.75">
      <c r="C96" s="46" t="s">
        <v>550</v>
      </c>
      <c r="D96" s="157" t="s">
        <v>73</v>
      </c>
      <c r="E96" s="157"/>
      <c r="F96" s="157"/>
      <c r="G96" s="157"/>
      <c r="H96" s="157"/>
    </row>
    <row r="97" spans="3:8" ht="12.75">
      <c r="C97" s="46" t="s">
        <v>551</v>
      </c>
      <c r="D97" s="157" t="s">
        <v>73</v>
      </c>
      <c r="E97" s="157"/>
      <c r="F97" s="157"/>
      <c r="G97" s="157"/>
      <c r="H97" s="157"/>
    </row>
    <row r="98" spans="3:8" ht="12.75">
      <c r="C98" s="46" t="s">
        <v>552</v>
      </c>
      <c r="D98" s="157" t="s">
        <v>72</v>
      </c>
      <c r="E98" s="157"/>
      <c r="F98" s="157"/>
      <c r="G98" s="157"/>
      <c r="H98" s="157"/>
    </row>
    <row r="99" spans="3:8" ht="12.75">
      <c r="C99" s="46" t="s">
        <v>553</v>
      </c>
      <c r="D99" s="157" t="s">
        <v>74</v>
      </c>
      <c r="E99" s="157"/>
      <c r="F99" s="157"/>
      <c r="G99" s="157"/>
      <c r="H99" s="157"/>
    </row>
    <row r="100" spans="1:28" ht="99.75">
      <c r="A100" s="74" t="s">
        <v>78</v>
      </c>
      <c r="B100" s="74" t="s">
        <v>78</v>
      </c>
      <c r="C100" s="74" t="str">
        <f>Source!G45</f>
        <v>Перегородка из профилей алaлюминиевых Realit RW 64 и Realit RF 50 стойка -ригель,  Стеклопакет энергосберегающий 6зак+20+6 И зак.TopN  внешняя, по каталогу RAL  по согласованию согласно проекта (порошковая покраска)</v>
      </c>
      <c r="D100" s="74" t="str">
        <f>Source!F45</f>
        <v>Цена Поставщика</v>
      </c>
      <c r="E100" s="58" t="str">
        <f>Source!H45</f>
        <v>м2</v>
      </c>
      <c r="F100" s="14">
        <f>Source!I45</f>
        <v>25.9</v>
      </c>
      <c r="G100" s="44">
        <f>Source!AB45</f>
        <v>30757</v>
      </c>
      <c r="H100" s="44">
        <f>Source!O45</f>
        <v>796606.3</v>
      </c>
      <c r="T100">
        <f>Source!O45</f>
        <v>796606.3</v>
      </c>
      <c r="U100">
        <f>Source!P45</f>
        <v>796606.3</v>
      </c>
      <c r="V100">
        <f>Source!S45</f>
        <v>0</v>
      </c>
      <c r="W100">
        <f>Source!Q45</f>
        <v>0</v>
      </c>
      <c r="X100">
        <f>Source!R45</f>
        <v>0</v>
      </c>
      <c r="Y100">
        <f>Source!U45</f>
        <v>0</v>
      </c>
      <c r="Z100">
        <f>Source!V45</f>
        <v>0</v>
      </c>
      <c r="AA100">
        <f>Source!X45</f>
        <v>0</v>
      </c>
      <c r="AB100">
        <f>Source!Y45</f>
        <v>0</v>
      </c>
    </row>
    <row r="101" spans="1:28" ht="42.75">
      <c r="A101" s="74" t="s">
        <v>83</v>
      </c>
      <c r="B101" s="74" t="s">
        <v>83</v>
      </c>
      <c r="C101" s="74" t="str">
        <f>Source!G47</f>
        <v>Монтажные комплектующие</v>
      </c>
      <c r="D101" s="74" t="str">
        <f>Source!F47</f>
        <v>Цена Поставщика</v>
      </c>
      <c r="E101" s="58" t="str">
        <f>Source!H47</f>
        <v>КОМПЛ</v>
      </c>
      <c r="F101" s="14">
        <f>Source!I47</f>
        <v>1</v>
      </c>
      <c r="G101" s="44">
        <f>Source!AB47</f>
        <v>78547</v>
      </c>
      <c r="H101" s="44">
        <f>Source!O47</f>
        <v>78547</v>
      </c>
      <c r="T101">
        <f>Source!O47</f>
        <v>78547</v>
      </c>
      <c r="U101">
        <f>Source!P47</f>
        <v>78547</v>
      </c>
      <c r="V101">
        <f>Source!S47</f>
        <v>0</v>
      </c>
      <c r="W101">
        <f>Source!Q47</f>
        <v>0</v>
      </c>
      <c r="X101">
        <f>Source!R47</f>
        <v>0</v>
      </c>
      <c r="Y101">
        <f>Source!U47</f>
        <v>0</v>
      </c>
      <c r="Z101">
        <f>Source!V47</f>
        <v>0</v>
      </c>
      <c r="AA101">
        <f>Source!X47</f>
        <v>0</v>
      </c>
      <c r="AB101">
        <f>Source!Y47</f>
        <v>0</v>
      </c>
    </row>
    <row r="102" spans="1:28" ht="28.5">
      <c r="A102" s="74">
        <v>6</v>
      </c>
      <c r="B102" s="74">
        <v>6</v>
      </c>
      <c r="C102" s="74" t="str">
        <f>Source!G49</f>
        <v>Установка алюминиевых: нащельников</v>
      </c>
      <c r="D102" s="74" t="str">
        <f>Source!F49</f>
        <v>09-05-009-03</v>
      </c>
      <c r="E102" s="58" t="str">
        <f>Source!H49</f>
        <v>100 м</v>
      </c>
      <c r="F102" s="14">
        <f>Source!I49</f>
        <v>0.677</v>
      </c>
      <c r="G102" s="44">
        <f>Source!AB49</f>
        <v>482.98</v>
      </c>
      <c r="H102" s="44">
        <f>Source!O49</f>
        <v>9354.23</v>
      </c>
      <c r="T102">
        <f>Source!O49</f>
        <v>9354.23</v>
      </c>
      <c r="U102">
        <f>Source!P49</f>
        <v>626.59</v>
      </c>
      <c r="V102">
        <f>Source!S49</f>
        <v>8727.64</v>
      </c>
      <c r="W102">
        <f>Source!Q49</f>
        <v>0</v>
      </c>
      <c r="X102">
        <f>Source!R49</f>
        <v>0</v>
      </c>
      <c r="Y102">
        <f>Source!U49</f>
        <v>25.770005</v>
      </c>
      <c r="Z102">
        <f>Source!V49</f>
        <v>0</v>
      </c>
      <c r="AA102">
        <f>Source!X49</f>
        <v>8116.71</v>
      </c>
      <c r="AB102">
        <f>Source!Y49</f>
        <v>4599.47</v>
      </c>
    </row>
    <row r="103" spans="3:8" ht="14.25">
      <c r="C103" s="46" t="str">
        <f>"Объем: "&amp;Source!I49&amp;"=67,7/"&amp;"100"</f>
        <v>Объем: 0,677=67,7/100</v>
      </c>
      <c r="F103" s="14"/>
      <c r="G103" s="14"/>
      <c r="H103" s="14"/>
    </row>
    <row r="104" spans="3:4" ht="63.75">
      <c r="C104" s="46" t="s">
        <v>542</v>
      </c>
      <c r="D104" s="46" t="str">
        <f>Source!BO49</f>
        <v>Письмо Минстроя России от 28.08.2023 № 52355-ИФ/09</v>
      </c>
    </row>
    <row r="105" spans="3:4" ht="12.75">
      <c r="C105" s="46" t="s">
        <v>543</v>
      </c>
      <c r="D105" s="46">
        <f>Source!BA49</f>
        <v>37.34</v>
      </c>
    </row>
    <row r="106" spans="3:4" ht="12.75">
      <c r="C106" s="46" t="s">
        <v>544</v>
      </c>
      <c r="D106" s="46">
        <f>Source!BB49</f>
        <v>13.24</v>
      </c>
    </row>
    <row r="107" spans="3:4" ht="12.75">
      <c r="C107" s="46" t="s">
        <v>545</v>
      </c>
      <c r="D107" s="46">
        <f>Source!BC49</f>
        <v>6.72</v>
      </c>
    </row>
    <row r="108" spans="3:4" ht="12.75">
      <c r="C108" s="46" t="s">
        <v>546</v>
      </c>
      <c r="D108" s="46">
        <f>Source!BS49</f>
        <v>37.34</v>
      </c>
    </row>
    <row r="109" spans="3:8" ht="12.75">
      <c r="C109" s="46" t="s">
        <v>548</v>
      </c>
      <c r="D109" s="157" t="s">
        <v>72</v>
      </c>
      <c r="E109" s="157"/>
      <c r="F109" s="157"/>
      <c r="G109" s="157"/>
      <c r="H109" s="157"/>
    </row>
    <row r="110" spans="3:8" ht="12.75">
      <c r="C110" s="46" t="s">
        <v>549</v>
      </c>
      <c r="D110" s="157" t="s">
        <v>72</v>
      </c>
      <c r="E110" s="157"/>
      <c r="F110" s="157"/>
      <c r="G110" s="157"/>
      <c r="H110" s="157"/>
    </row>
    <row r="111" spans="3:8" ht="12.75">
      <c r="C111" s="46" t="s">
        <v>550</v>
      </c>
      <c r="D111" s="157" t="s">
        <v>73</v>
      </c>
      <c r="E111" s="157"/>
      <c r="F111" s="157"/>
      <c r="G111" s="157"/>
      <c r="H111" s="157"/>
    </row>
    <row r="112" spans="3:8" ht="12.75">
      <c r="C112" s="46" t="s">
        <v>551</v>
      </c>
      <c r="D112" s="157" t="s">
        <v>73</v>
      </c>
      <c r="E112" s="157"/>
      <c r="F112" s="157"/>
      <c r="G112" s="157"/>
      <c r="H112" s="157"/>
    </row>
    <row r="113" spans="3:8" ht="12.75">
      <c r="C113" s="46" t="s">
        <v>552</v>
      </c>
      <c r="D113" s="157" t="s">
        <v>72</v>
      </c>
      <c r="E113" s="157"/>
      <c r="F113" s="157"/>
      <c r="G113" s="157"/>
      <c r="H113" s="157"/>
    </row>
    <row r="114" spans="3:8" ht="12.75">
      <c r="C114" s="46" t="s">
        <v>553</v>
      </c>
      <c r="D114" s="157" t="s">
        <v>74</v>
      </c>
      <c r="E114" s="157"/>
      <c r="F114" s="157"/>
      <c r="G114" s="157"/>
      <c r="H114" s="157"/>
    </row>
    <row r="115" spans="1:28" ht="42.75">
      <c r="A115" s="74" t="s">
        <v>91</v>
      </c>
      <c r="B115" s="74" t="s">
        <v>91</v>
      </c>
      <c r="C115" s="74" t="str">
        <f>Source!G51</f>
        <v>Нащельники и детали примыканий</v>
      </c>
      <c r="D115" s="74" t="str">
        <f>Source!F51</f>
        <v>Цена Поставщика</v>
      </c>
      <c r="E115" s="58" t="str">
        <f>Source!H51</f>
        <v>м</v>
      </c>
      <c r="F115" s="14">
        <f>Source!I51</f>
        <v>67.7</v>
      </c>
      <c r="G115" s="44">
        <f>Source!AB51</f>
        <v>2917</v>
      </c>
      <c r="H115" s="44">
        <f>Source!O51</f>
        <v>197480.9</v>
      </c>
      <c r="T115">
        <f>Source!O51</f>
        <v>197480.9</v>
      </c>
      <c r="U115">
        <f>Source!P51</f>
        <v>197480.9</v>
      </c>
      <c r="V115">
        <f>Source!S51</f>
        <v>0</v>
      </c>
      <c r="W115">
        <f>Source!Q51</f>
        <v>0</v>
      </c>
      <c r="X115">
        <f>Source!R51</f>
        <v>0</v>
      </c>
      <c r="Y115">
        <f>Source!U51</f>
        <v>0</v>
      </c>
      <c r="Z115">
        <f>Source!V51</f>
        <v>0</v>
      </c>
      <c r="AA115">
        <f>Source!X51</f>
        <v>0</v>
      </c>
      <c r="AB115">
        <f>Source!Y51</f>
        <v>0</v>
      </c>
    </row>
    <row r="116" spans="1:28" ht="28.5">
      <c r="A116" s="74">
        <v>7</v>
      </c>
      <c r="B116" s="74">
        <v>7</v>
      </c>
      <c r="C116" s="74" t="str">
        <f>Source!G53</f>
        <v>Укладка металлического накладного профиля (порога)</v>
      </c>
      <c r="D116" s="74" t="str">
        <f>Source!F53</f>
        <v>11-01-049-01</v>
      </c>
      <c r="E116" s="58" t="str">
        <f>Source!H53</f>
        <v>100 м</v>
      </c>
      <c r="F116" s="14">
        <f>Source!I53</f>
        <v>0.03</v>
      </c>
      <c r="G116" s="44">
        <f>Source!AB53</f>
        <v>243.63</v>
      </c>
      <c r="H116" s="44">
        <f>Source!O53</f>
        <v>199.06</v>
      </c>
      <c r="T116">
        <f>Source!O53</f>
        <v>199.06</v>
      </c>
      <c r="U116">
        <f>Source!P53</f>
        <v>16.21</v>
      </c>
      <c r="V116">
        <f>Source!S53</f>
        <v>182.85</v>
      </c>
      <c r="W116">
        <f>Source!Q53</f>
        <v>0</v>
      </c>
      <c r="X116">
        <f>Source!R53</f>
        <v>0</v>
      </c>
      <c r="Y116">
        <f>Source!U53</f>
        <v>0.5740799999999999</v>
      </c>
      <c r="Z116">
        <f>Source!V53</f>
        <v>0</v>
      </c>
      <c r="AA116">
        <f>Source!X53</f>
        <v>204.79</v>
      </c>
      <c r="AB116">
        <f>Source!Y53</f>
        <v>101.02</v>
      </c>
    </row>
    <row r="117" spans="3:8" ht="14.25">
      <c r="C117" s="46" t="str">
        <f>"Объем: "&amp;Source!I53&amp;"=3/"&amp;"100"</f>
        <v>Объем: 0,03=3/100</v>
      </c>
      <c r="F117" s="14"/>
      <c r="G117" s="14"/>
      <c r="H117" s="14"/>
    </row>
    <row r="118" spans="3:4" ht="63.75">
      <c r="C118" s="46" t="s">
        <v>542</v>
      </c>
      <c r="D118" s="46" t="str">
        <f>Source!BO53</f>
        <v>Письмо Минстроя России от 28.08.2023 № 52355-ИФ/09</v>
      </c>
    </row>
    <row r="119" spans="3:4" ht="12.75">
      <c r="C119" s="46" t="s">
        <v>543</v>
      </c>
      <c r="D119" s="46">
        <f>Source!BA53</f>
        <v>37.34</v>
      </c>
    </row>
    <row r="120" spans="3:4" ht="12.75">
      <c r="C120" s="46" t="s">
        <v>544</v>
      </c>
      <c r="D120" s="46">
        <f>Source!BB53</f>
        <v>13.24</v>
      </c>
    </row>
    <row r="121" spans="3:4" ht="12.75">
      <c r="C121" s="46" t="s">
        <v>545</v>
      </c>
      <c r="D121" s="46">
        <f>Source!BC53</f>
        <v>6.72</v>
      </c>
    </row>
    <row r="122" spans="3:4" ht="12.75">
      <c r="C122" s="46" t="s">
        <v>546</v>
      </c>
      <c r="D122" s="46">
        <f>Source!BS53</f>
        <v>37.34</v>
      </c>
    </row>
    <row r="123" spans="3:8" ht="12.75">
      <c r="C123" s="46" t="s">
        <v>548</v>
      </c>
      <c r="D123" s="157" t="s">
        <v>72</v>
      </c>
      <c r="E123" s="157"/>
      <c r="F123" s="157"/>
      <c r="G123" s="157"/>
      <c r="H123" s="157"/>
    </row>
    <row r="124" spans="3:8" ht="12.75">
      <c r="C124" s="46" t="s">
        <v>549</v>
      </c>
      <c r="D124" s="157" t="s">
        <v>72</v>
      </c>
      <c r="E124" s="157"/>
      <c r="F124" s="157"/>
      <c r="G124" s="157"/>
      <c r="H124" s="157"/>
    </row>
    <row r="125" spans="3:8" ht="12.75">
      <c r="C125" s="46" t="s">
        <v>550</v>
      </c>
      <c r="D125" s="157" t="s">
        <v>73</v>
      </c>
      <c r="E125" s="157"/>
      <c r="F125" s="157"/>
      <c r="G125" s="157"/>
      <c r="H125" s="157"/>
    </row>
    <row r="126" spans="3:8" ht="12.75">
      <c r="C126" s="46" t="s">
        <v>551</v>
      </c>
      <c r="D126" s="157" t="s">
        <v>73</v>
      </c>
      <c r="E126" s="157"/>
      <c r="F126" s="157"/>
      <c r="G126" s="157"/>
      <c r="H126" s="157"/>
    </row>
    <row r="127" spans="3:8" ht="12.75">
      <c r="C127" s="46" t="s">
        <v>552</v>
      </c>
      <c r="D127" s="157" t="s">
        <v>72</v>
      </c>
      <c r="E127" s="157"/>
      <c r="F127" s="157"/>
      <c r="G127" s="157"/>
      <c r="H127" s="157"/>
    </row>
    <row r="128" spans="3:8" ht="12.75">
      <c r="C128" s="46" t="s">
        <v>553</v>
      </c>
      <c r="D128" s="157" t="s">
        <v>74</v>
      </c>
      <c r="E128" s="157"/>
      <c r="F128" s="157"/>
      <c r="G128" s="157"/>
      <c r="H128" s="157"/>
    </row>
    <row r="129" spans="1:28" ht="42.75">
      <c r="A129" s="74" t="s">
        <v>102</v>
      </c>
      <c r="B129" s="74" t="s">
        <v>102</v>
      </c>
      <c r="C129" s="74" t="str">
        <f>Source!G55</f>
        <v>Профили стыкоперекрывающие из алюминиевых сплавов (порожки) с покрытием, шириной 60 мм</v>
      </c>
      <c r="D129" s="74" t="str">
        <f>Source!F55</f>
        <v>09.2.03.02-0022</v>
      </c>
      <c r="E129" s="58" t="str">
        <f>Source!H55</f>
        <v>м</v>
      </c>
      <c r="F129" s="14">
        <f>Source!I55</f>
        <v>3.15</v>
      </c>
      <c r="G129" s="44">
        <f>Source!AB55</f>
        <v>22.58</v>
      </c>
      <c r="H129" s="44">
        <f>Source!O55</f>
        <v>477.97</v>
      </c>
      <c r="T129">
        <f>Source!O55</f>
        <v>477.97</v>
      </c>
      <c r="U129">
        <f>Source!P55</f>
        <v>477.97</v>
      </c>
      <c r="V129">
        <f>Source!S55</f>
        <v>0</v>
      </c>
      <c r="W129">
        <f>Source!Q55</f>
        <v>0</v>
      </c>
      <c r="X129">
        <f>Source!R55</f>
        <v>0</v>
      </c>
      <c r="Y129">
        <f>Source!U55</f>
        <v>0</v>
      </c>
      <c r="Z129">
        <f>Source!V55</f>
        <v>0</v>
      </c>
      <c r="AA129">
        <f>Source!X55</f>
        <v>0</v>
      </c>
      <c r="AB129">
        <f>Source!Y55</f>
        <v>0</v>
      </c>
    </row>
    <row r="130" spans="3:8" ht="63.75">
      <c r="C130" s="46" t="s">
        <v>542</v>
      </c>
      <c r="D130" s="46" t="str">
        <f>Source!BO55</f>
        <v>Письмо Минстроя России от 28.08.2023 № 52355-ИФ/09</v>
      </c>
      <c r="F130" s="14"/>
      <c r="G130" s="14"/>
      <c r="H130" s="14"/>
    </row>
    <row r="131" spans="3:4" ht="12.75">
      <c r="C131" s="46" t="s">
        <v>545</v>
      </c>
      <c r="D131" s="46">
        <f>Source!BC55</f>
        <v>6.72</v>
      </c>
    </row>
    <row r="132" spans="1:28" ht="57">
      <c r="A132" s="74">
        <v>8</v>
      </c>
      <c r="B132" s="74">
        <v>8</v>
      </c>
      <c r="C132" s="74" t="str">
        <f>Source!G57</f>
        <v>Установка блоков в наружных и внутренних дверных проемах: в каменных стенах, площадь проема более 3 м2</v>
      </c>
      <c r="D132" s="74" t="str">
        <f>Source!F57</f>
        <v>10-01-039-02</v>
      </c>
      <c r="E132" s="58" t="str">
        <f>Source!H57</f>
        <v>100 м2</v>
      </c>
      <c r="F132" s="14">
        <f>Source!I57</f>
        <v>0.0638</v>
      </c>
      <c r="G132" s="44">
        <f>Source!AB57</f>
        <v>3370.48</v>
      </c>
      <c r="H132" s="44">
        <f>Source!O57</f>
        <v>3595.19</v>
      </c>
      <c r="T132">
        <f>Source!O57</f>
        <v>3595.19</v>
      </c>
      <c r="U132">
        <f>Source!P57</f>
        <v>601.15</v>
      </c>
      <c r="V132">
        <f>Source!S57</f>
        <v>2062.78</v>
      </c>
      <c r="W132">
        <f>Source!Q57</f>
        <v>931.26</v>
      </c>
      <c r="X132">
        <f>Source!R57</f>
        <v>400.92</v>
      </c>
      <c r="Y132">
        <f>Source!U57</f>
        <v>5.876936999999998</v>
      </c>
      <c r="Z132">
        <f>Source!V57</f>
        <v>0.81664</v>
      </c>
      <c r="AA132">
        <f>Source!X57</f>
        <v>2660.8</v>
      </c>
      <c r="AB132">
        <f>Source!Y57</f>
        <v>1151.78</v>
      </c>
    </row>
    <row r="133" spans="3:8" ht="14.25">
      <c r="C133" s="46" t="str">
        <f>"Объем: "&amp;Source!I57&amp;"=6,38/"&amp;"100"</f>
        <v>Объем: 0,0638=6,38/100</v>
      </c>
      <c r="F133" s="14"/>
      <c r="G133" s="14"/>
      <c r="H133" s="14"/>
    </row>
    <row r="134" spans="3:4" ht="63.75">
      <c r="C134" s="46" t="s">
        <v>542</v>
      </c>
      <c r="D134" s="46" t="str">
        <f>Source!BO57</f>
        <v>Письмо Минстроя России от 28.08.2023 № 52355-ИФ/09</v>
      </c>
    </row>
    <row r="135" spans="3:4" ht="12.75">
      <c r="C135" s="46" t="s">
        <v>543</v>
      </c>
      <c r="D135" s="46">
        <f>Source!BA57</f>
        <v>37.34</v>
      </c>
    </row>
    <row r="136" spans="3:4" ht="12.75">
      <c r="C136" s="46" t="s">
        <v>544</v>
      </c>
      <c r="D136" s="46">
        <f>Source!BB57</f>
        <v>13.24</v>
      </c>
    </row>
    <row r="137" spans="3:4" ht="12.75">
      <c r="C137" s="46" t="s">
        <v>545</v>
      </c>
      <c r="D137" s="46">
        <f>Source!BC57</f>
        <v>6.72</v>
      </c>
    </row>
    <row r="138" spans="3:4" ht="12.75">
      <c r="C138" s="46" t="s">
        <v>546</v>
      </c>
      <c r="D138" s="46">
        <f>Source!BS57</f>
        <v>37.34</v>
      </c>
    </row>
    <row r="139" spans="3:8" ht="12.75">
      <c r="C139" s="46" t="s">
        <v>548</v>
      </c>
      <c r="D139" s="157" t="s">
        <v>72</v>
      </c>
      <c r="E139" s="157"/>
      <c r="F139" s="157"/>
      <c r="G139" s="157"/>
      <c r="H139" s="157"/>
    </row>
    <row r="140" spans="3:8" ht="12.75">
      <c r="C140" s="46" t="s">
        <v>549</v>
      </c>
      <c r="D140" s="157" t="s">
        <v>72</v>
      </c>
      <c r="E140" s="157"/>
      <c r="F140" s="157"/>
      <c r="G140" s="157"/>
      <c r="H140" s="157"/>
    </row>
    <row r="141" spans="3:8" ht="12.75">
      <c r="C141" s="46" t="s">
        <v>550</v>
      </c>
      <c r="D141" s="157" t="s">
        <v>73</v>
      </c>
      <c r="E141" s="157"/>
      <c r="F141" s="157"/>
      <c r="G141" s="157"/>
      <c r="H141" s="157"/>
    </row>
    <row r="142" spans="3:8" ht="12.75">
      <c r="C142" s="46" t="s">
        <v>551</v>
      </c>
      <c r="D142" s="157" t="s">
        <v>73</v>
      </c>
      <c r="E142" s="157"/>
      <c r="F142" s="157"/>
      <c r="G142" s="157"/>
      <c r="H142" s="157"/>
    </row>
    <row r="143" spans="3:8" ht="12.75">
      <c r="C143" s="46" t="s">
        <v>552</v>
      </c>
      <c r="D143" s="157" t="s">
        <v>72</v>
      </c>
      <c r="E143" s="157"/>
      <c r="F143" s="157"/>
      <c r="G143" s="157"/>
      <c r="H143" s="157"/>
    </row>
    <row r="144" spans="3:8" ht="12.75">
      <c r="C144" s="46" t="s">
        <v>553</v>
      </c>
      <c r="D144" s="157" t="s">
        <v>74</v>
      </c>
      <c r="E144" s="157"/>
      <c r="F144" s="157"/>
      <c r="G144" s="157"/>
      <c r="H144" s="157"/>
    </row>
    <row r="145" spans="1:28" ht="114">
      <c r="A145" s="74" t="s">
        <v>114</v>
      </c>
      <c r="B145" s="74" t="s">
        <v>114</v>
      </c>
      <c r="C145" s="74" t="str">
        <f>Source!G59</f>
        <v>Дверной блок светопрозрачный, распашной двустворчатый (1450*2200 мм) из теплого алюминиевого профиля Realit RI 50 и RF 50 с двухкамерным стеклопакетом  6зак+20+6 зак, петли Wala 3 шт на створку, ручка скоба 300-350, замок ключ+ключ стационарный порог 14 мм, EIW15)</v>
      </c>
      <c r="D145" s="74" t="str">
        <f>Source!F59</f>
        <v>Цена Поставщика</v>
      </c>
      <c r="E145" s="58" t="str">
        <f>Source!H59</f>
        <v>КОМП</v>
      </c>
      <c r="F145" s="14">
        <f>Source!I59</f>
        <v>2</v>
      </c>
      <c r="G145" s="44">
        <f>Source!AB59</f>
        <v>128480</v>
      </c>
      <c r="H145" s="44">
        <f>Source!O59</f>
        <v>256960</v>
      </c>
      <c r="T145">
        <f>Source!O59</f>
        <v>256960</v>
      </c>
      <c r="U145">
        <f>Source!P59</f>
        <v>256960</v>
      </c>
      <c r="V145">
        <f>Source!S59</f>
        <v>0</v>
      </c>
      <c r="W145">
        <f>Source!Q59</f>
        <v>0</v>
      </c>
      <c r="X145">
        <f>Source!R59</f>
        <v>0</v>
      </c>
      <c r="Y145">
        <f>Source!U59</f>
        <v>0</v>
      </c>
      <c r="Z145">
        <f>Source!V59</f>
        <v>0</v>
      </c>
      <c r="AA145">
        <f>Source!X59</f>
        <v>0</v>
      </c>
      <c r="AB145">
        <f>Source!Y59</f>
        <v>0</v>
      </c>
    </row>
    <row r="146" spans="1:28" ht="28.5">
      <c r="A146" s="74">
        <v>9</v>
      </c>
      <c r="B146" s="74">
        <v>9</v>
      </c>
      <c r="C146" s="74" t="str">
        <f>Source!G61</f>
        <v>Установка: дверного доводчика</v>
      </c>
      <c r="D146" s="74" t="str">
        <f>Source!F61</f>
        <v>10-01-049-02</v>
      </c>
      <c r="E146" s="58" t="str">
        <f>Source!H61</f>
        <v>100 ШТ</v>
      </c>
      <c r="F146" s="14">
        <f>Source!I61</f>
        <v>0.02</v>
      </c>
      <c r="G146" s="44">
        <f>Source!AB61</f>
        <v>309.78</v>
      </c>
      <c r="H146" s="44">
        <f>Source!O61</f>
        <v>221.76</v>
      </c>
      <c r="T146">
        <f>Source!O61</f>
        <v>221.76</v>
      </c>
      <c r="U146">
        <f>Source!P61</f>
        <v>0.3</v>
      </c>
      <c r="V146">
        <f>Source!S61</f>
        <v>216.93</v>
      </c>
      <c r="W146">
        <f>Source!Q61</f>
        <v>4.53</v>
      </c>
      <c r="X146">
        <f>Source!R61</f>
        <v>1.68</v>
      </c>
      <c r="Y146">
        <f>Source!U61</f>
        <v>0.61088</v>
      </c>
      <c r="Z146">
        <f>Source!V61</f>
        <v>0.0035000000000000005</v>
      </c>
      <c r="AA146">
        <f>Source!X61</f>
        <v>236.1</v>
      </c>
      <c r="AB146">
        <f>Source!Y61</f>
        <v>102.2</v>
      </c>
    </row>
    <row r="147" spans="3:8" ht="14.25">
      <c r="C147" s="46" t="str">
        <f>"Объем: "&amp;Source!I61&amp;"=2/"&amp;"100"</f>
        <v>Объем: 0,02=2/100</v>
      </c>
      <c r="F147" s="14"/>
      <c r="G147" s="14"/>
      <c r="H147" s="14"/>
    </row>
    <row r="148" spans="3:4" ht="63.75">
      <c r="C148" s="46" t="s">
        <v>542</v>
      </c>
      <c r="D148" s="46" t="str">
        <f>Source!BO61</f>
        <v>Письмо Минстроя России от 28.08.2023 № 52355-ИФ/09</v>
      </c>
    </row>
    <row r="149" spans="3:4" ht="12.75">
      <c r="C149" s="46" t="s">
        <v>543</v>
      </c>
      <c r="D149" s="46">
        <f>Source!BA61</f>
        <v>37.34</v>
      </c>
    </row>
    <row r="150" spans="3:4" ht="12.75">
      <c r="C150" s="46" t="s">
        <v>544</v>
      </c>
      <c r="D150" s="46">
        <f>Source!BB61</f>
        <v>13.24</v>
      </c>
    </row>
    <row r="151" spans="3:4" ht="12.75">
      <c r="C151" s="46" t="s">
        <v>545</v>
      </c>
      <c r="D151" s="46">
        <f>Source!BC61</f>
        <v>6.72</v>
      </c>
    </row>
    <row r="152" spans="3:4" ht="12.75">
      <c r="C152" s="46" t="s">
        <v>546</v>
      </c>
      <c r="D152" s="46">
        <f>Source!BS61</f>
        <v>37.34</v>
      </c>
    </row>
    <row r="153" spans="3:8" ht="12.75">
      <c r="C153" s="46" t="s">
        <v>548</v>
      </c>
      <c r="D153" s="157" t="s">
        <v>72</v>
      </c>
      <c r="E153" s="157"/>
      <c r="F153" s="157"/>
      <c r="G153" s="157"/>
      <c r="H153" s="157"/>
    </row>
    <row r="154" spans="3:8" ht="12.75">
      <c r="C154" s="46" t="s">
        <v>549</v>
      </c>
      <c r="D154" s="157" t="s">
        <v>72</v>
      </c>
      <c r="E154" s="157"/>
      <c r="F154" s="157"/>
      <c r="G154" s="157"/>
      <c r="H154" s="157"/>
    </row>
    <row r="155" spans="3:8" ht="12.75">
      <c r="C155" s="46" t="s">
        <v>550</v>
      </c>
      <c r="D155" s="157" t="s">
        <v>73</v>
      </c>
      <c r="E155" s="157"/>
      <c r="F155" s="157"/>
      <c r="G155" s="157"/>
      <c r="H155" s="157"/>
    </row>
    <row r="156" spans="3:8" ht="12.75">
      <c r="C156" s="46" t="s">
        <v>551</v>
      </c>
      <c r="D156" s="157" t="s">
        <v>73</v>
      </c>
      <c r="E156" s="157"/>
      <c r="F156" s="157"/>
      <c r="G156" s="157"/>
      <c r="H156" s="157"/>
    </row>
    <row r="157" spans="3:8" ht="12.75">
      <c r="C157" s="46" t="s">
        <v>552</v>
      </c>
      <c r="D157" s="157" t="s">
        <v>72</v>
      </c>
      <c r="E157" s="157"/>
      <c r="F157" s="157"/>
      <c r="G157" s="157"/>
      <c r="H157" s="157"/>
    </row>
    <row r="158" spans="3:8" ht="12.75">
      <c r="C158" s="46" t="s">
        <v>553</v>
      </c>
      <c r="D158" s="157" t="s">
        <v>74</v>
      </c>
      <c r="E158" s="157"/>
      <c r="F158" s="157"/>
      <c r="G158" s="157"/>
      <c r="H158" s="157"/>
    </row>
    <row r="160" spans="1:8" ht="15">
      <c r="A160" s="64"/>
      <c r="B160" s="64"/>
      <c r="C160" s="122" t="str">
        <f>CONCATENATE("Итого по разделу: ",IF(Source!G63&lt;&gt;"Новый раздел",Source!G63,""))</f>
        <v>Итого по разделу: Ремонтные работы</v>
      </c>
      <c r="D160" s="122"/>
      <c r="E160" s="122"/>
      <c r="F160" s="122"/>
      <c r="G160" s="64"/>
      <c r="H160" s="65">
        <f>IF(SUM(T39:T159)=0,"-",SUM(T39:T159))</f>
        <v>1419630.39</v>
      </c>
    </row>
    <row r="161" spans="1:8" ht="15">
      <c r="A161" s="64"/>
      <c r="B161" s="64"/>
      <c r="C161" s="64"/>
      <c r="D161" s="64"/>
      <c r="E161" s="64"/>
      <c r="F161" s="64"/>
      <c r="G161" s="64"/>
      <c r="H161" s="64"/>
    </row>
    <row r="163" spans="3:8" ht="14.25">
      <c r="C163" s="121" t="str">
        <f>Source!H92</f>
        <v>итого по разделу</v>
      </c>
      <c r="D163" s="121"/>
      <c r="E163" s="121"/>
      <c r="F163" s="121"/>
      <c r="G163" s="156">
        <f>IF(Source!P92=0,"",Source!P92)</f>
        <v>1531652.3</v>
      </c>
      <c r="H163" s="156"/>
    </row>
    <row r="165" spans="1:8" ht="16.5">
      <c r="A165" s="119" t="str">
        <f>CONCATENATE("Раздел: ",IF(Source!G94&lt;&gt;"Новый раздел",Source!G94,""))</f>
        <v>Раздел: Разные работы</v>
      </c>
      <c r="B165" s="119"/>
      <c r="C165" s="119"/>
      <c r="D165" s="119"/>
      <c r="E165" s="119"/>
      <c r="F165" s="119"/>
      <c r="G165" s="119"/>
      <c r="H165" s="119"/>
    </row>
    <row r="166" spans="1:28" ht="42.75">
      <c r="A166" s="74">
        <v>10</v>
      </c>
      <c r="B166" s="74">
        <v>10</v>
      </c>
      <c r="C166" s="74" t="str">
        <f>Source!G99</f>
        <v>Погрузка при автомобильных перевозках мусора строительного с погрузкой вручную</v>
      </c>
      <c r="D166" s="74" t="str">
        <f>Source!F99</f>
        <v>т01-01-01-041</v>
      </c>
      <c r="E166" s="58" t="str">
        <f>Source!H99</f>
        <v>1 Т ГРУЗА</v>
      </c>
      <c r="F166" s="14">
        <f>Source!I99</f>
        <v>1.9</v>
      </c>
      <c r="G166" s="44">
        <f>Source!AB99</f>
        <v>42.98</v>
      </c>
      <c r="H166" s="44">
        <f>Source!GM99</f>
        <v>1081.2</v>
      </c>
      <c r="T166">
        <f>Source!GM99</f>
        <v>1081.2</v>
      </c>
      <c r="U166">
        <f>Source!P99</f>
        <v>0</v>
      </c>
      <c r="V166">
        <f>Source!S99</f>
        <v>0</v>
      </c>
      <c r="W166">
        <f>Source!Q99</f>
        <v>0</v>
      </c>
      <c r="X166">
        <f>Source!R99</f>
        <v>0</v>
      </c>
      <c r="Y166">
        <f>Source!U99</f>
        <v>0</v>
      </c>
      <c r="Z166">
        <f>Source!V99</f>
        <v>0</v>
      </c>
      <c r="AA166">
        <f>Source!X99</f>
        <v>0</v>
      </c>
      <c r="AB166">
        <f>Source!Y99</f>
        <v>0</v>
      </c>
    </row>
    <row r="167" spans="3:8" ht="63.75">
      <c r="C167" s="46" t="s">
        <v>542</v>
      </c>
      <c r="D167" s="46" t="str">
        <f>Source!BO99</f>
        <v>Письмо Минстроя России от 28.08.2023 № 52355-ИФ/09</v>
      </c>
      <c r="F167" s="14"/>
      <c r="G167" s="14"/>
      <c r="H167" s="14"/>
    </row>
    <row r="168" spans="3:4" ht="12.75">
      <c r="C168" s="46" t="s">
        <v>554</v>
      </c>
      <c r="D168" s="46">
        <f>Source!AZ99</f>
        <v>13.24</v>
      </c>
    </row>
    <row r="169" spans="1:28" ht="57">
      <c r="A169" s="74">
        <v>11</v>
      </c>
      <c r="B169" s="74">
        <v>11</v>
      </c>
      <c r="C169" s="74" t="str">
        <f>Source!G101</f>
        <v>Перевозка грузов I класса автомобилями бортовыми грузоподъемностью до 15 т на расстояние до 50 км</v>
      </c>
      <c r="D169" s="74" t="str">
        <f>Source!F101</f>
        <v>т03-01-01-050</v>
      </c>
      <c r="E169" s="58" t="str">
        <f>Source!H101</f>
        <v>1 Т ГРУЗА</v>
      </c>
      <c r="F169" s="14">
        <f>Source!I101</f>
        <v>1.9</v>
      </c>
      <c r="G169" s="44">
        <f>Source!AB101</f>
        <v>23.67</v>
      </c>
      <c r="H169" s="44">
        <f>Source!GM101</f>
        <v>595.44</v>
      </c>
      <c r="T169">
        <f>Source!GM101</f>
        <v>595.44</v>
      </c>
      <c r="U169">
        <f>Source!P101</f>
        <v>0</v>
      </c>
      <c r="V169">
        <f>Source!S101</f>
        <v>0</v>
      </c>
      <c r="W169">
        <f>Source!Q101</f>
        <v>0</v>
      </c>
      <c r="X169">
        <f>Source!R101</f>
        <v>0</v>
      </c>
      <c r="Y169">
        <f>Source!U101</f>
        <v>0</v>
      </c>
      <c r="Z169">
        <f>Source!V101</f>
        <v>0</v>
      </c>
      <c r="AA169">
        <f>Source!X101</f>
        <v>0</v>
      </c>
      <c r="AB169">
        <f>Source!Y101</f>
        <v>0</v>
      </c>
    </row>
    <row r="170" spans="3:8" ht="63.75">
      <c r="C170" s="46" t="s">
        <v>542</v>
      </c>
      <c r="D170" s="46" t="str">
        <f>Source!BO101</f>
        <v>Письмо Минстроя России от 28.08.2023 № 52355-ИФ/09</v>
      </c>
      <c r="F170" s="14"/>
      <c r="G170" s="14"/>
      <c r="H170" s="14"/>
    </row>
    <row r="171" spans="3:4" ht="12.75">
      <c r="C171" s="46" t="s">
        <v>554</v>
      </c>
      <c r="D171" s="46">
        <f>Source!AZ101</f>
        <v>13.24</v>
      </c>
    </row>
    <row r="173" spans="1:8" ht="15">
      <c r="A173" s="64"/>
      <c r="B173" s="64"/>
      <c r="C173" s="122" t="str">
        <f>CONCATENATE("Итого по разделу: ",IF(Source!G103&lt;&gt;"Новый раздел",Source!G103,""))</f>
        <v>Итого по разделу: Разные работы</v>
      </c>
      <c r="D173" s="122"/>
      <c r="E173" s="122"/>
      <c r="F173" s="122"/>
      <c r="G173" s="64"/>
      <c r="H173" s="65">
        <f>IF(SUM(T165:T172)=0,"-",SUM(T165:T172))</f>
        <v>1676.64</v>
      </c>
    </row>
    <row r="174" spans="1:8" ht="15">
      <c r="A174" s="64"/>
      <c r="B174" s="64"/>
      <c r="C174" s="64"/>
      <c r="D174" s="64"/>
      <c r="E174" s="64"/>
      <c r="F174" s="64"/>
      <c r="G174" s="64"/>
      <c r="H174" s="64"/>
    </row>
    <row r="176" spans="3:8" ht="14.25">
      <c r="C176" s="121" t="str">
        <f>Source!H109</f>
        <v>Стоимость материалов (всего)</v>
      </c>
      <c r="D176" s="121"/>
      <c r="E176" s="121"/>
      <c r="F176" s="121"/>
      <c r="G176" s="156">
        <f>IF(Source!P109=0,"",Source!P109)</f>
      </c>
      <c r="H176" s="156"/>
    </row>
    <row r="177" spans="3:8" ht="14.25">
      <c r="C177" s="121" t="str">
        <f>Source!H132</f>
        <v>итого по разделу</v>
      </c>
      <c r="D177" s="121"/>
      <c r="E177" s="121"/>
      <c r="F177" s="121"/>
      <c r="G177" s="156">
        <f>IF(Source!P132=0,"",Source!P132)</f>
        <v>1676.64</v>
      </c>
      <c r="H177" s="156"/>
    </row>
    <row r="179" spans="1:8" ht="15">
      <c r="A179" s="64"/>
      <c r="B179" s="64"/>
      <c r="C179" s="122" t="str">
        <f>CONCATENATE("Итого по локальной смете: ",IF(Source!G134&lt;&gt;"Новая локальная смета",Source!G134,""))</f>
        <v>Итого по локальной смете: </v>
      </c>
      <c r="D179" s="122"/>
      <c r="E179" s="122"/>
      <c r="F179" s="122"/>
      <c r="G179" s="64"/>
      <c r="H179" s="65">
        <f>IF(SUM(T37:T178)=0,"-",SUM(T37:T178))</f>
        <v>1421307.0299999998</v>
      </c>
    </row>
    <row r="180" spans="1:8" ht="15">
      <c r="A180" s="64"/>
      <c r="B180" s="64"/>
      <c r="C180" s="64"/>
      <c r="D180" s="64"/>
      <c r="E180" s="64"/>
      <c r="F180" s="64"/>
      <c r="G180" s="64"/>
      <c r="H180" s="64"/>
    </row>
    <row r="182" spans="3:8" ht="14.25">
      <c r="C182" s="121" t="str">
        <f>Source!H140</f>
        <v>Стоимость материалов (всего)</v>
      </c>
      <c r="D182" s="121"/>
      <c r="E182" s="121"/>
      <c r="F182" s="121"/>
      <c r="G182" s="156">
        <f>IF(Source!P140=0,"",Source!P140)</f>
        <v>1340937.04</v>
      </c>
      <c r="H182" s="156"/>
    </row>
    <row r="183" spans="3:8" ht="14.25">
      <c r="C183" s="121" t="str">
        <f>Source!H163</f>
        <v>Всего материалов</v>
      </c>
      <c r="D183" s="121"/>
      <c r="E183" s="121"/>
      <c r="F183" s="121"/>
      <c r="G183" s="156">
        <f>IF(Source!P163=0,"",Source!P163)</f>
        <v>1340937.04</v>
      </c>
      <c r="H183" s="156"/>
    </row>
    <row r="184" spans="3:8" ht="14.25">
      <c r="C184" s="121" t="str">
        <f>Source!H164</f>
        <v>Итого</v>
      </c>
      <c r="D184" s="121"/>
      <c r="E184" s="121"/>
      <c r="F184" s="121"/>
      <c r="G184" s="156">
        <f>IF(Source!P164=0,"",Source!P164)</f>
        <v>1533328.94</v>
      </c>
      <c r="H184" s="156"/>
    </row>
    <row r="185" spans="3:8" ht="14.25">
      <c r="C185" s="121" t="str">
        <f>Source!H165</f>
        <v>НДС 20%</v>
      </c>
      <c r="D185" s="121"/>
      <c r="E185" s="121"/>
      <c r="F185" s="121"/>
      <c r="G185" s="156">
        <f>IF(Source!P165=0,"",Source!P165)</f>
        <v>306665.79</v>
      </c>
      <c r="H185" s="156"/>
    </row>
    <row r="186" spans="3:8" ht="14.25">
      <c r="C186" s="121" t="str">
        <f>Source!H166</f>
        <v>ВСЕГО ПО СМЕТЕ</v>
      </c>
      <c r="D186" s="121"/>
      <c r="E186" s="121"/>
      <c r="F186" s="121"/>
      <c r="G186" s="156">
        <f>IF(Source!P166=0,"",Source!P166)</f>
        <v>1839994.73</v>
      </c>
      <c r="H186" s="156"/>
    </row>
    <row r="188" spans="1:33" ht="30">
      <c r="A188" s="64"/>
      <c r="B188" s="64"/>
      <c r="C188" s="122" t="str">
        <f>CONCATENATE("Итого по смете: ",IF(Source!G168&lt;&gt;"Новый объект",Source!G168,""))</f>
        <v>Итого по смете: Выполнение работ по замене светопрозрачных перегородок входа в блок 1 строения № 1 ИПУ РАН</v>
      </c>
      <c r="D188" s="122"/>
      <c r="E188" s="122"/>
      <c r="F188" s="122"/>
      <c r="G188" s="64"/>
      <c r="H188" s="65">
        <f>IF(SUM(T1:T187)=0,"-",SUM(T1:T187))</f>
        <v>1421307.0299999998</v>
      </c>
      <c r="AG188" s="96" t="str">
        <f>CONCATENATE("Итого по смете: ",IF(Source!G168&lt;&gt;"Новый объект",Source!G168,""))</f>
        <v>Итого по смете: Выполнение работ по замене светопрозрачных перегородок входа в блок 1 строения № 1 ИПУ РАН</v>
      </c>
    </row>
    <row r="189" spans="1:8" ht="15">
      <c r="A189" s="64"/>
      <c r="B189" s="64"/>
      <c r="C189" s="64"/>
      <c r="D189" s="64"/>
      <c r="E189" s="64"/>
      <c r="F189" s="64"/>
      <c r="G189" s="64"/>
      <c r="H189" s="64"/>
    </row>
    <row r="190" spans="3:8" ht="14.25">
      <c r="C190" s="121" t="str">
        <f>Source!H176</f>
        <v>Стоимость материалов подрядчика</v>
      </c>
      <c r="D190" s="121"/>
      <c r="E190" s="121"/>
      <c r="F190" s="121"/>
      <c r="G190" s="156">
        <f>IF(Source!P176=0,"",Source!P176)</f>
        <v>1340937.04</v>
      </c>
      <c r="H190" s="156"/>
    </row>
    <row r="193" spans="1:12" ht="15" thickBot="1">
      <c r="A193" s="153" t="s">
        <v>555</v>
      </c>
      <c r="B193" s="153"/>
      <c r="C193" s="97" t="str">
        <f>IF(Source!AC12&lt;&gt;"",Source!AC12," ")</f>
        <v>Ведущий инжененр РЕСО</v>
      </c>
      <c r="D193" s="14"/>
      <c r="E193" s="98"/>
      <c r="F193" s="14"/>
      <c r="G193" s="154" t="str">
        <f>IF(Source!AB12&lt;&gt;"",Source!AB12," ")</f>
        <v>Степанова А.М.</v>
      </c>
      <c r="H193" s="154"/>
      <c r="I193" s="14"/>
      <c r="J193" s="14"/>
      <c r="K193" s="14"/>
      <c r="L193" s="14"/>
    </row>
    <row r="194" spans="1:12" ht="14.25">
      <c r="A194" s="14"/>
      <c r="B194" s="14"/>
      <c r="C194" s="99" t="s">
        <v>556</v>
      </c>
      <c r="D194" s="14"/>
      <c r="E194" s="99" t="s">
        <v>557</v>
      </c>
      <c r="F194" s="14"/>
      <c r="G194" s="155" t="s">
        <v>558</v>
      </c>
      <c r="H194" s="155"/>
      <c r="I194" s="14"/>
      <c r="J194" s="14"/>
      <c r="K194" s="14"/>
      <c r="L194" s="14"/>
    </row>
    <row r="195" spans="1:12" ht="14.2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</row>
    <row r="196" spans="1:12" ht="14.25">
      <c r="A196" s="14"/>
      <c r="B196" s="14"/>
      <c r="C196" s="17" t="s">
        <v>559</v>
      </c>
      <c r="D196" s="14"/>
      <c r="E196" s="14"/>
      <c r="F196" s="14"/>
      <c r="G196" s="14"/>
      <c r="H196" s="14"/>
      <c r="I196" s="14"/>
      <c r="J196" s="14"/>
      <c r="K196" s="14"/>
      <c r="L196" s="14"/>
    </row>
    <row r="197" spans="1:12" ht="14.2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</row>
    <row r="198" spans="1:12" ht="15" thickBot="1">
      <c r="A198" s="153" t="s">
        <v>560</v>
      </c>
      <c r="B198" s="153"/>
      <c r="C198" s="97" t="str">
        <f>IF(Source!AG12&lt;&gt;"",Source!AG12," ")</f>
        <v> </v>
      </c>
      <c r="D198" s="14"/>
      <c r="E198" s="98"/>
      <c r="F198" s="14"/>
      <c r="G198" s="154" t="str">
        <f>IF(Source!AF12&lt;&gt;"",Source!AF12," ")</f>
        <v> </v>
      </c>
      <c r="H198" s="154"/>
      <c r="I198" s="14"/>
      <c r="J198" s="14"/>
      <c r="K198" s="14"/>
      <c r="L198" s="14"/>
    </row>
    <row r="199" spans="1:12" ht="14.25">
      <c r="A199" s="14"/>
      <c r="B199" s="14"/>
      <c r="C199" s="99" t="s">
        <v>556</v>
      </c>
      <c r="D199" s="14"/>
      <c r="E199" s="99" t="s">
        <v>557</v>
      </c>
      <c r="F199" s="14"/>
      <c r="G199" s="155" t="s">
        <v>558</v>
      </c>
      <c r="H199" s="155"/>
      <c r="I199" s="14"/>
      <c r="J199" s="14"/>
      <c r="K199" s="14"/>
      <c r="L199" s="14"/>
    </row>
    <row r="200" spans="1:12" ht="14.2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</row>
    <row r="201" spans="1:12" ht="14.25">
      <c r="A201" s="14"/>
      <c r="B201" s="14"/>
      <c r="C201" s="17" t="s">
        <v>559</v>
      </c>
      <c r="D201" s="14"/>
      <c r="E201" s="14"/>
      <c r="F201" s="14"/>
      <c r="G201" s="14"/>
      <c r="H201" s="14"/>
      <c r="I201" s="14"/>
      <c r="J201" s="14"/>
      <c r="K201" s="14"/>
      <c r="L201" s="14"/>
    </row>
  </sheetData>
  <sheetProtection/>
  <mergeCells count="116">
    <mergeCell ref="E2:H2"/>
    <mergeCell ref="E3:H3"/>
    <mergeCell ref="E4:H4"/>
    <mergeCell ref="G6:H6"/>
    <mergeCell ref="G7:H7"/>
    <mergeCell ref="G8:H9"/>
    <mergeCell ref="C9:E9"/>
    <mergeCell ref="C14:E14"/>
    <mergeCell ref="G14:H15"/>
    <mergeCell ref="C15:E15"/>
    <mergeCell ref="C16:E16"/>
    <mergeCell ref="G16:H17"/>
    <mergeCell ref="C17:E17"/>
    <mergeCell ref="C10:E10"/>
    <mergeCell ref="G10:H11"/>
    <mergeCell ref="C11:E11"/>
    <mergeCell ref="C12:E12"/>
    <mergeCell ref="G12:H13"/>
    <mergeCell ref="C13:E13"/>
    <mergeCell ref="G22:H22"/>
    <mergeCell ref="D24:D25"/>
    <mergeCell ref="E24:E25"/>
    <mergeCell ref="F24:G24"/>
    <mergeCell ref="A28:H28"/>
    <mergeCell ref="A29:H29"/>
    <mergeCell ref="C18:E18"/>
    <mergeCell ref="D19:F19"/>
    <mergeCell ref="G19:H19"/>
    <mergeCell ref="D20:E20"/>
    <mergeCell ref="G20:H20"/>
    <mergeCell ref="G21:H21"/>
    <mergeCell ref="A37:H37"/>
    <mergeCell ref="A39:H39"/>
    <mergeCell ref="D47:H47"/>
    <mergeCell ref="D48:H48"/>
    <mergeCell ref="D49:H49"/>
    <mergeCell ref="D50:H50"/>
    <mergeCell ref="F31:G31"/>
    <mergeCell ref="A33:B33"/>
    <mergeCell ref="C33:C34"/>
    <mergeCell ref="D33:D34"/>
    <mergeCell ref="E33:E34"/>
    <mergeCell ref="F33:H33"/>
    <mergeCell ref="D63:H63"/>
    <mergeCell ref="D64:H64"/>
    <mergeCell ref="D81:H81"/>
    <mergeCell ref="D82:H82"/>
    <mergeCell ref="D83:H83"/>
    <mergeCell ref="D84:H84"/>
    <mergeCell ref="D51:H51"/>
    <mergeCell ref="D52:H52"/>
    <mergeCell ref="D59:H59"/>
    <mergeCell ref="D60:H60"/>
    <mergeCell ref="D61:H61"/>
    <mergeCell ref="D62:H62"/>
    <mergeCell ref="D98:H98"/>
    <mergeCell ref="D99:H99"/>
    <mergeCell ref="D109:H109"/>
    <mergeCell ref="D110:H110"/>
    <mergeCell ref="D111:H111"/>
    <mergeCell ref="D112:H112"/>
    <mergeCell ref="D85:H85"/>
    <mergeCell ref="D86:H86"/>
    <mergeCell ref="D94:H94"/>
    <mergeCell ref="D95:H95"/>
    <mergeCell ref="D96:H96"/>
    <mergeCell ref="D97:H97"/>
    <mergeCell ref="D127:H127"/>
    <mergeCell ref="D128:H128"/>
    <mergeCell ref="D139:H139"/>
    <mergeCell ref="D140:H140"/>
    <mergeCell ref="D141:H141"/>
    <mergeCell ref="D142:H142"/>
    <mergeCell ref="D113:H113"/>
    <mergeCell ref="D114:H114"/>
    <mergeCell ref="D123:H123"/>
    <mergeCell ref="D124:H124"/>
    <mergeCell ref="D125:H125"/>
    <mergeCell ref="D126:H126"/>
    <mergeCell ref="D157:H157"/>
    <mergeCell ref="D158:H158"/>
    <mergeCell ref="C160:F160"/>
    <mergeCell ref="C163:F163"/>
    <mergeCell ref="G163:H163"/>
    <mergeCell ref="A165:H165"/>
    <mergeCell ref="D143:H143"/>
    <mergeCell ref="D144:H144"/>
    <mergeCell ref="D153:H153"/>
    <mergeCell ref="D154:H154"/>
    <mergeCell ref="D155:H155"/>
    <mergeCell ref="D156:H156"/>
    <mergeCell ref="C182:F182"/>
    <mergeCell ref="G182:H182"/>
    <mergeCell ref="C183:F183"/>
    <mergeCell ref="G183:H183"/>
    <mergeCell ref="C184:F184"/>
    <mergeCell ref="G184:H184"/>
    <mergeCell ref="C173:F173"/>
    <mergeCell ref="C176:F176"/>
    <mergeCell ref="G176:H176"/>
    <mergeCell ref="C177:F177"/>
    <mergeCell ref="G177:H177"/>
    <mergeCell ref="C179:F179"/>
    <mergeCell ref="A193:B193"/>
    <mergeCell ref="G193:H193"/>
    <mergeCell ref="G194:H194"/>
    <mergeCell ref="A198:B198"/>
    <mergeCell ref="G198:H198"/>
    <mergeCell ref="G199:H199"/>
    <mergeCell ref="C185:F185"/>
    <mergeCell ref="G185:H185"/>
    <mergeCell ref="C186:F186"/>
    <mergeCell ref="G186:H186"/>
    <mergeCell ref="C188:F188"/>
    <mergeCell ref="C190:F190"/>
    <mergeCell ref="G190:H190"/>
  </mergeCells>
  <printOptions/>
  <pageMargins left="0.4" right="0.2" top="0.2" bottom="0.4" header="0.2" footer="0.2"/>
  <pageSetup fitToHeight="0" fitToWidth="1" horizontalDpi="600" verticalDpi="600" orientation="portrait" paperSize="9" scale="85" r:id="rId1"/>
  <headerFooter>
    <oddHeader>&amp;L&amp;8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75.7109375" style="0" customWidth="1"/>
    <col min="3" max="5" width="15.7109375" style="0" customWidth="1"/>
    <col min="30" max="30" width="114.7109375" style="0" hidden="1" customWidth="1"/>
    <col min="31" max="32" width="0" style="0" hidden="1" customWidth="1"/>
  </cols>
  <sheetData>
    <row r="1" ht="12.75">
      <c r="A1" s="12" t="str">
        <f>Source!B1</f>
        <v>Smeta.RU  (495) 974-1589</v>
      </c>
    </row>
    <row r="2" spans="3:4" ht="14.25">
      <c r="C2" s="14"/>
      <c r="D2" s="14"/>
    </row>
    <row r="3" spans="3:4" ht="15">
      <c r="C3" s="14"/>
      <c r="D3" s="64" t="s">
        <v>388</v>
      </c>
    </row>
    <row r="4" spans="3:4" ht="15">
      <c r="C4" s="64"/>
      <c r="D4" s="64"/>
    </row>
    <row r="5" spans="3:4" ht="15">
      <c r="C5" s="150" t="s">
        <v>497</v>
      </c>
      <c r="D5" s="150"/>
    </row>
    <row r="6" spans="3:4" ht="15">
      <c r="C6" s="80"/>
      <c r="D6" s="80"/>
    </row>
    <row r="7" spans="3:4" ht="15">
      <c r="C7" s="150" t="s">
        <v>497</v>
      </c>
      <c r="D7" s="150"/>
    </row>
    <row r="8" spans="3:4" ht="15">
      <c r="C8" s="80"/>
      <c r="D8" s="80"/>
    </row>
    <row r="9" spans="3:4" ht="15">
      <c r="C9" s="64" t="s">
        <v>498</v>
      </c>
      <c r="D9" s="14"/>
    </row>
    <row r="10" spans="1:5" ht="14.25">
      <c r="A10" s="14"/>
      <c r="B10" s="14"/>
      <c r="C10" s="14"/>
      <c r="D10" s="14"/>
      <c r="E10" s="14"/>
    </row>
    <row r="11" spans="1:5" ht="15.75">
      <c r="A11" s="176" t="str">
        <f>CONCATENATE("Дефектный акт ",IF(Source!AN15&lt;&gt;"",Source!AN15," "))</f>
        <v>Дефектный акт  </v>
      </c>
      <c r="B11" s="176"/>
      <c r="C11" s="176"/>
      <c r="D11" s="176"/>
      <c r="E11" s="14"/>
    </row>
    <row r="12" spans="1:30" ht="30">
      <c r="A12" s="177" t="str">
        <f>CONCATENATE("На капитальный ремонт ",Source!F12," ",Source!G12)</f>
        <v>На капитальный ремонт  Выполнение работ по замене светопрозрачных перегородок входа в блок 1 строения № 1 ИПУ РАН</v>
      </c>
      <c r="B12" s="177"/>
      <c r="C12" s="177"/>
      <c r="D12" s="177"/>
      <c r="E12" s="14"/>
      <c r="AD12" s="101" t="str">
        <f>CONCATENATE("На капитальный ремонт ",Source!F12," ",Source!G12)</f>
        <v>На капитальный ремонт  Выполнение работ по замене светопрозрачных перегородок входа в блок 1 строения № 1 ИПУ РАН</v>
      </c>
    </row>
    <row r="13" spans="1:5" ht="14.25">
      <c r="A13" s="14"/>
      <c r="B13" s="14"/>
      <c r="C13" s="14"/>
      <c r="D13" s="14"/>
      <c r="E13" s="14"/>
    </row>
    <row r="14" spans="1:5" ht="15">
      <c r="A14" s="14"/>
      <c r="B14" s="100" t="s">
        <v>561</v>
      </c>
      <c r="C14" s="14"/>
      <c r="D14" s="14"/>
      <c r="E14" s="14"/>
    </row>
    <row r="15" spans="1:5" ht="15">
      <c r="A15" s="14"/>
      <c r="B15" s="100" t="s">
        <v>562</v>
      </c>
      <c r="C15" s="14"/>
      <c r="D15" s="14"/>
      <c r="E15" s="14"/>
    </row>
    <row r="16" spans="1:5" ht="15">
      <c r="A16" s="14"/>
      <c r="B16" s="100" t="s">
        <v>563</v>
      </c>
      <c r="C16" s="14"/>
      <c r="D16" s="14"/>
      <c r="E16" s="14"/>
    </row>
    <row r="17" spans="1:5" ht="28.5">
      <c r="A17" s="82" t="s">
        <v>411</v>
      </c>
      <c r="B17" s="82" t="s">
        <v>413</v>
      </c>
      <c r="C17" s="82" t="s">
        <v>414</v>
      </c>
      <c r="D17" s="82" t="s">
        <v>415</v>
      </c>
      <c r="E17" s="83" t="s">
        <v>502</v>
      </c>
    </row>
    <row r="18" spans="1:5" ht="14.25">
      <c r="A18" s="102">
        <v>1</v>
      </c>
      <c r="B18" s="102">
        <v>2</v>
      </c>
      <c r="C18" s="102">
        <v>3</v>
      </c>
      <c r="D18" s="102">
        <v>4</v>
      </c>
      <c r="E18" s="103">
        <v>5</v>
      </c>
    </row>
    <row r="19" spans="1:5" ht="16.5">
      <c r="A19" s="149" t="str">
        <f>CONCATENATE("Локальная смета: ",Source!G20)</f>
        <v>Локальная смета: </v>
      </c>
      <c r="B19" s="149"/>
      <c r="C19" s="149"/>
      <c r="D19" s="149"/>
      <c r="E19" s="149"/>
    </row>
    <row r="20" spans="1:5" ht="16.5">
      <c r="A20" s="149" t="str">
        <f>CONCATENATE("Раздел: ",Source!G24)</f>
        <v>Раздел: Ремонтные работы</v>
      </c>
      <c r="B20" s="149"/>
      <c r="C20" s="149"/>
      <c r="D20" s="149"/>
      <c r="E20" s="149"/>
    </row>
    <row r="21" spans="1:5" ht="28.5">
      <c r="A21" s="108">
        <v>1</v>
      </c>
      <c r="B21" s="109" t="str">
        <f>Source!G28</f>
        <v>Демонтаж перегородок: из алюминиевых сплавов сборно-разборных с остеклением (Применительно)</v>
      </c>
      <c r="C21" s="110" t="str">
        <f>Source!H28</f>
        <v>100 м2</v>
      </c>
      <c r="D21" s="111">
        <f>Source!I28</f>
        <v>0.32</v>
      </c>
      <c r="E21" s="109"/>
    </row>
    <row r="22" spans="1:5" ht="14.25">
      <c r="A22" s="108">
        <v>2</v>
      </c>
      <c r="B22" s="109" t="str">
        <f>Source!G30</f>
        <v>Срезка анкерных болтов (Применительно)</v>
      </c>
      <c r="C22" s="110" t="str">
        <f>Source!H30</f>
        <v>т</v>
      </c>
      <c r="D22" s="111">
        <f>Source!I30</f>
        <v>0.01</v>
      </c>
      <c r="E22" s="109"/>
    </row>
    <row r="23" spans="1:5" ht="28.5">
      <c r="A23" s="108">
        <v>3</v>
      </c>
      <c r="B23" s="109" t="str">
        <f>Source!G36</f>
        <v>Сверление в железобетонных конструкциях вертикальных отверстий глубиной 200 мм диаметром: 20 мм (Применительно)</v>
      </c>
      <c r="C23" s="110" t="str">
        <f>Source!H36</f>
        <v>100 отверстий</v>
      </c>
      <c r="D23" s="111">
        <f>Source!I36</f>
        <v>0.16</v>
      </c>
      <c r="E23" s="109"/>
    </row>
    <row r="24" spans="1:5" ht="14.25">
      <c r="A24" s="108">
        <v>3.1</v>
      </c>
      <c r="B24" s="109" t="str">
        <f>Source!G38</f>
        <v>Бур с ограничителем TE-C-HDA-B 22х155 для анкеров HDA</v>
      </c>
      <c r="C24" s="110" t="str">
        <f>Source!H38</f>
        <v>ШТ</v>
      </c>
      <c r="D24" s="111">
        <f>Source!I38</f>
        <v>1.5</v>
      </c>
      <c r="E24" s="109"/>
    </row>
    <row r="25" spans="1:5" ht="14.25">
      <c r="A25" s="108">
        <v>4</v>
      </c>
      <c r="B25" s="109" t="str">
        <f>Source!G40</f>
        <v>Установка анкерных болтов: в готовые гнезда с заделкой длиной до 1 м</v>
      </c>
      <c r="C25" s="110" t="str">
        <f>Source!H40</f>
        <v>т</v>
      </c>
      <c r="D25" s="111">
        <f>Source!I40</f>
        <v>0.01</v>
      </c>
      <c r="E25" s="109"/>
    </row>
    <row r="26" spans="1:5" ht="28.5">
      <c r="A26" s="108">
        <v>5</v>
      </c>
      <c r="B26" s="109" t="str">
        <f>Source!G42</f>
        <v>Монтаж перегородок: из алюминиевых сплавов сборно-разборных с остеклением</v>
      </c>
      <c r="C26" s="110" t="str">
        <f>Source!H42</f>
        <v>100 м2</v>
      </c>
      <c r="D26" s="111">
        <f>Source!I42</f>
        <v>0.259</v>
      </c>
      <c r="E26" s="109"/>
    </row>
    <row r="27" spans="1:5" ht="57">
      <c r="A27" s="108">
        <v>5.1</v>
      </c>
      <c r="B27" s="109" t="str">
        <f>Source!G44</f>
        <v>Перегородка из профилей алaлюминиевых Realit RW 64 и Realit RF 50 стойка -ригель,  Стеклопакет энергосберегающий 6зак+20+6 И зак.TopN  внешняя, по каталогу RAL  по согласованию согласно проекта (порошковая покраска)</v>
      </c>
      <c r="C27" s="110" t="str">
        <f>Source!H44</f>
        <v>м2</v>
      </c>
      <c r="D27" s="111">
        <f>Source!I44</f>
        <v>25.9</v>
      </c>
      <c r="E27" s="109"/>
    </row>
    <row r="28" spans="1:5" ht="14.25">
      <c r="A28" s="108">
        <v>5.2</v>
      </c>
      <c r="B28" s="109" t="str">
        <f>Source!G46</f>
        <v>Монтажные комплектующие</v>
      </c>
      <c r="C28" s="110" t="str">
        <f>Source!H46</f>
        <v>КОМПЛ</v>
      </c>
      <c r="D28" s="111">
        <f>Source!I46</f>
        <v>1</v>
      </c>
      <c r="E28" s="109"/>
    </row>
    <row r="29" spans="1:5" ht="14.25">
      <c r="A29" s="108">
        <v>6</v>
      </c>
      <c r="B29" s="109" t="str">
        <f>Source!G48</f>
        <v>Установка алюминиевых: нащельников</v>
      </c>
      <c r="C29" s="110" t="str">
        <f>Source!H48</f>
        <v>100 м</v>
      </c>
      <c r="D29" s="111">
        <f>Source!I48</f>
        <v>0.677</v>
      </c>
      <c r="E29" s="109"/>
    </row>
    <row r="30" spans="1:5" ht="14.25">
      <c r="A30" s="108">
        <v>6.1</v>
      </c>
      <c r="B30" s="109" t="str">
        <f>Source!G50</f>
        <v>Нащельники и детали примыканий</v>
      </c>
      <c r="C30" s="110" t="str">
        <f>Source!H50</f>
        <v>м</v>
      </c>
      <c r="D30" s="111">
        <f>Source!I50</f>
        <v>67.7</v>
      </c>
      <c r="E30" s="109"/>
    </row>
    <row r="31" spans="1:5" ht="14.25">
      <c r="A31" s="108">
        <v>7</v>
      </c>
      <c r="B31" s="109" t="str">
        <f>Source!G52</f>
        <v>Укладка металлического накладного профиля (порога)</v>
      </c>
      <c r="C31" s="110" t="str">
        <f>Source!H52</f>
        <v>100 м</v>
      </c>
      <c r="D31" s="111">
        <f>Source!I52</f>
        <v>0.03</v>
      </c>
      <c r="E31" s="109"/>
    </row>
    <row r="32" spans="1:5" ht="28.5">
      <c r="A32" s="108">
        <v>7.1</v>
      </c>
      <c r="B32" s="109" t="str">
        <f>Source!G54</f>
        <v>Профили стыкоперекрывающие из алюминиевых сплавов (порожки) с покрытием, шириной 60 мм</v>
      </c>
      <c r="C32" s="110" t="str">
        <f>Source!H54</f>
        <v>м</v>
      </c>
      <c r="D32" s="111">
        <f>Source!I54</f>
        <v>3.15</v>
      </c>
      <c r="E32" s="109"/>
    </row>
    <row r="33" spans="1:5" ht="28.5">
      <c r="A33" s="108">
        <v>8</v>
      </c>
      <c r="B33" s="109" t="str">
        <f>Source!G56</f>
        <v>Установка блоков в наружных и внутренних дверных проемах: в каменных стенах, площадь проема более 3 м2</v>
      </c>
      <c r="C33" s="110" t="str">
        <f>Source!H56</f>
        <v>100 м2</v>
      </c>
      <c r="D33" s="111">
        <f>Source!I56</f>
        <v>0.0638</v>
      </c>
      <c r="E33" s="109"/>
    </row>
    <row r="34" spans="1:5" ht="71.25">
      <c r="A34" s="108">
        <v>8.1</v>
      </c>
      <c r="B34" s="109" t="str">
        <f>Source!G58</f>
        <v>Дверной блок светопрозрачный, распашной двустворчатый (1450*2200 мм) из теплого алюминиевого профиля Realit RI 50 и RF 50 с двухкамерным стеклопакетом  6зак+20+6 зак, петли Wala 3 шт на створку, ручка скоба 300-350, замок ключ+ключ стационарный порог 14 мм, EIW15)</v>
      </c>
      <c r="C34" s="110" t="str">
        <f>Source!H58</f>
        <v>КОМП</v>
      </c>
      <c r="D34" s="111">
        <f>Source!I58</f>
        <v>2</v>
      </c>
      <c r="E34" s="109"/>
    </row>
    <row r="35" spans="1:5" ht="14.25">
      <c r="A35" s="108">
        <v>9</v>
      </c>
      <c r="B35" s="109" t="str">
        <f>Source!G60</f>
        <v>Установка: дверного доводчика</v>
      </c>
      <c r="C35" s="110" t="str">
        <f>Source!H60</f>
        <v>100 ШТ</v>
      </c>
      <c r="D35" s="111">
        <f>Source!I60</f>
        <v>0.02</v>
      </c>
      <c r="E35" s="109"/>
    </row>
    <row r="36" spans="1:5" ht="16.5">
      <c r="A36" s="149" t="str">
        <f>CONCATENATE("Раздел: ",Source!G94)</f>
        <v>Раздел: Разные работы</v>
      </c>
      <c r="B36" s="149"/>
      <c r="C36" s="149"/>
      <c r="D36" s="149"/>
      <c r="E36" s="149"/>
    </row>
    <row r="37" spans="1:5" ht="28.5">
      <c r="A37" s="108">
        <v>10</v>
      </c>
      <c r="B37" s="109" t="str">
        <f>Source!G98</f>
        <v>Погрузка при автомобильных перевозках мусора строительного с погрузкой вручную</v>
      </c>
      <c r="C37" s="110" t="str">
        <f>Source!H98</f>
        <v>1 Т ГРУЗА</v>
      </c>
      <c r="D37" s="111">
        <f>Source!I98</f>
        <v>1.9</v>
      </c>
      <c r="E37" s="109"/>
    </row>
    <row r="38" spans="1:5" ht="28.5">
      <c r="A38" s="104">
        <v>11</v>
      </c>
      <c r="B38" s="105" t="str">
        <f>Source!G100</f>
        <v>Перевозка грузов I класса автомобилями бортовыми грузоподъемностью до 15 т на расстояние до 50 км</v>
      </c>
      <c r="C38" s="106" t="str">
        <f>Source!H100</f>
        <v>1 Т ГРУЗА</v>
      </c>
      <c r="D38" s="107">
        <f>Source!I100</f>
        <v>1.9</v>
      </c>
      <c r="E38" s="105"/>
    </row>
    <row r="41" spans="1:5" ht="15">
      <c r="A41" s="54" t="s">
        <v>564</v>
      </c>
      <c r="B41" s="54"/>
      <c r="C41" s="54" t="s">
        <v>565</v>
      </c>
      <c r="D41" s="54"/>
      <c r="E41" s="54"/>
    </row>
  </sheetData>
  <sheetProtection/>
  <mergeCells count="7">
    <mergeCell ref="A36:E36"/>
    <mergeCell ref="C5:D5"/>
    <mergeCell ref="C7:D7"/>
    <mergeCell ref="A11:D11"/>
    <mergeCell ref="A12:D12"/>
    <mergeCell ref="A19:E19"/>
    <mergeCell ref="A20:E20"/>
  </mergeCells>
  <printOptions/>
  <pageMargins left="0.4" right="0.2" top="0.2" bottom="0.4" header="0.2" footer="0.2"/>
  <pageSetup fitToHeight="0" fitToWidth="1" horizontalDpi="600" verticalDpi="600" orientation="portrait" paperSize="9" scale="76" r:id="rId1"/>
  <headerFooter>
    <oddHeader>&amp;L&amp;8</oddHead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U238"/>
  <sheetViews>
    <sheetView zoomScalePageLayoutView="0" workbookViewId="0" topLeftCell="A1">
      <selection activeCell="A234" sqref="A234:AN234"/>
    </sheetView>
  </sheetViews>
  <sheetFormatPr defaultColWidth="9.140625" defaultRowHeight="12.75"/>
  <sheetData>
    <row r="1" spans="1:17" ht="12.75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K1">
        <v>1</v>
      </c>
      <c r="L1">
        <v>58091</v>
      </c>
      <c r="M1">
        <v>10</v>
      </c>
      <c r="N1">
        <v>11</v>
      </c>
      <c r="O1">
        <v>5</v>
      </c>
      <c r="P1">
        <v>3</v>
      </c>
      <c r="Q1">
        <v>2</v>
      </c>
    </row>
    <row r="12" spans="1:133" ht="12.75">
      <c r="A12" s="1">
        <v>1</v>
      </c>
      <c r="B12" s="1">
        <v>232</v>
      </c>
      <c r="C12" s="1">
        <v>0</v>
      </c>
      <c r="D12" s="1">
        <f>ROW(A168)</f>
        <v>168</v>
      </c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>
        <v>0</v>
      </c>
      <c r="M12" s="1">
        <v>131083</v>
      </c>
      <c r="N12" s="1"/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4</v>
      </c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5</v>
      </c>
      <c r="AC12" s="1" t="s">
        <v>6</v>
      </c>
      <c r="AD12" s="1" t="s">
        <v>7</v>
      </c>
      <c r="AE12" s="1" t="s">
        <v>8</v>
      </c>
      <c r="AF12" s="1" t="s">
        <v>3</v>
      </c>
      <c r="AG12" s="1" t="s">
        <v>3</v>
      </c>
      <c r="AH12" s="1" t="s">
        <v>9</v>
      </c>
      <c r="AI12" s="1" t="s">
        <v>10</v>
      </c>
      <c r="AJ12" s="1" t="s">
        <v>11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>
        <v>2</v>
      </c>
      <c r="BC12" s="1"/>
      <c r="BD12" s="1"/>
      <c r="BE12" s="1"/>
      <c r="BF12" s="1"/>
      <c r="BG12" s="1"/>
      <c r="BH12" s="1" t="s">
        <v>12</v>
      </c>
      <c r="BI12" s="1" t="s">
        <v>13</v>
      </c>
      <c r="BJ12" s="1">
        <v>1</v>
      </c>
      <c r="BK12" s="1">
        <v>1</v>
      </c>
      <c r="BL12" s="1">
        <v>0</v>
      </c>
      <c r="BM12" s="1">
        <v>0</v>
      </c>
      <c r="BN12" s="1">
        <v>1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 t="s">
        <v>14</v>
      </c>
      <c r="BZ12" s="1" t="s">
        <v>15</v>
      </c>
      <c r="CA12" s="1" t="s">
        <v>16</v>
      </c>
      <c r="CB12" s="1" t="s">
        <v>16</v>
      </c>
      <c r="CC12" s="1" t="s">
        <v>16</v>
      </c>
      <c r="CD12" s="1" t="s">
        <v>16</v>
      </c>
      <c r="CE12" s="1" t="s">
        <v>17</v>
      </c>
      <c r="CF12" s="1">
        <v>0</v>
      </c>
      <c r="CG12" s="1">
        <v>0</v>
      </c>
      <c r="CH12" s="1">
        <v>403177480</v>
      </c>
      <c r="CI12" s="1" t="s">
        <v>3</v>
      </c>
      <c r="CJ12" s="1" t="s">
        <v>3</v>
      </c>
      <c r="CK12" s="1">
        <v>9</v>
      </c>
      <c r="CL12" s="1"/>
      <c r="CM12" s="1"/>
      <c r="CN12" s="1"/>
      <c r="CO12" s="1"/>
      <c r="CP12" s="1"/>
      <c r="CQ12" s="1" t="s">
        <v>384</v>
      </c>
      <c r="CR12" s="1" t="s">
        <v>18</v>
      </c>
      <c r="CS12" s="1">
        <v>44551</v>
      </c>
      <c r="CT12" s="1">
        <v>395</v>
      </c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ht="12.75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06" ht="12.75">
      <c r="A18" s="3">
        <v>52</v>
      </c>
      <c r="B18" s="3">
        <f aca="true" t="shared" si="0" ref="B18:G18">B168</f>
        <v>232</v>
      </c>
      <c r="C18" s="3">
        <f t="shared" si="0"/>
        <v>1</v>
      </c>
      <c r="D18" s="3">
        <f t="shared" si="0"/>
        <v>12</v>
      </c>
      <c r="E18" s="3">
        <f t="shared" si="0"/>
        <v>0</v>
      </c>
      <c r="F18" s="3">
        <f t="shared" si="0"/>
      </c>
      <c r="G18" s="3" t="str">
        <f t="shared" si="0"/>
        <v>Выполнение работ по замене светопрозрачных перегородок входа в блок 1 строения № 1 ИПУ РАН</v>
      </c>
      <c r="H18" s="3"/>
      <c r="I18" s="3"/>
      <c r="J18" s="3"/>
      <c r="K18" s="3"/>
      <c r="L18" s="3"/>
      <c r="M18" s="3"/>
      <c r="N18" s="3"/>
      <c r="O18" s="3">
        <f aca="true" t="shared" si="1" ref="O18:AT18">O168</f>
        <v>1333697.86</v>
      </c>
      <c r="P18" s="3">
        <f t="shared" si="1"/>
        <v>1331282.11</v>
      </c>
      <c r="Q18" s="3">
        <f t="shared" si="1"/>
        <v>477.62</v>
      </c>
      <c r="R18" s="3">
        <f t="shared" si="1"/>
        <v>62.76</v>
      </c>
      <c r="S18" s="3">
        <f t="shared" si="1"/>
        <v>1938.13</v>
      </c>
      <c r="T18" s="3">
        <f t="shared" si="1"/>
        <v>0</v>
      </c>
      <c r="U18" s="3">
        <f t="shared" si="1"/>
        <v>196.45770199999998</v>
      </c>
      <c r="V18" s="3">
        <f t="shared" si="1"/>
        <v>5.1020650000000005</v>
      </c>
      <c r="W18" s="3">
        <f t="shared" si="1"/>
        <v>0</v>
      </c>
      <c r="X18" s="3">
        <f t="shared" si="1"/>
        <v>1882.86</v>
      </c>
      <c r="Y18" s="3">
        <f t="shared" si="1"/>
        <v>1117.21</v>
      </c>
      <c r="Z18" s="3">
        <f t="shared" si="1"/>
        <v>0</v>
      </c>
      <c r="AA18" s="3">
        <f t="shared" si="1"/>
        <v>0</v>
      </c>
      <c r="AB18" s="3">
        <f t="shared" si="1"/>
        <v>0</v>
      </c>
      <c r="AC18" s="3">
        <f t="shared" si="1"/>
        <v>0</v>
      </c>
      <c r="AD18" s="3">
        <f t="shared" si="1"/>
        <v>0</v>
      </c>
      <c r="AE18" s="3">
        <f t="shared" si="1"/>
        <v>0</v>
      </c>
      <c r="AF18" s="3">
        <f t="shared" si="1"/>
        <v>0</v>
      </c>
      <c r="AG18" s="3">
        <f t="shared" si="1"/>
        <v>0</v>
      </c>
      <c r="AH18" s="3">
        <f t="shared" si="1"/>
        <v>0</v>
      </c>
      <c r="AI18" s="3">
        <f t="shared" si="1"/>
        <v>0</v>
      </c>
      <c r="AJ18" s="3">
        <f t="shared" si="1"/>
        <v>0</v>
      </c>
      <c r="AK18" s="3">
        <f t="shared" si="1"/>
        <v>0</v>
      </c>
      <c r="AL18" s="3">
        <f t="shared" si="1"/>
        <v>0</v>
      </c>
      <c r="AM18" s="3">
        <f t="shared" si="1"/>
        <v>0</v>
      </c>
      <c r="AN18" s="3">
        <f t="shared" si="1"/>
        <v>0</v>
      </c>
      <c r="AO18" s="3">
        <f t="shared" si="1"/>
        <v>0</v>
      </c>
      <c r="AP18" s="3">
        <f t="shared" si="1"/>
        <v>0</v>
      </c>
      <c r="AQ18" s="3">
        <f t="shared" si="1"/>
        <v>0</v>
      </c>
      <c r="AR18" s="3">
        <f t="shared" si="1"/>
        <v>1336824.56</v>
      </c>
      <c r="AS18" s="3">
        <f t="shared" si="1"/>
        <v>1079864.56</v>
      </c>
      <c r="AT18" s="3">
        <f t="shared" si="1"/>
        <v>256960</v>
      </c>
      <c r="AU18" s="3">
        <f aca="true" t="shared" si="2" ref="AU18:BZ18">AU168</f>
        <v>0</v>
      </c>
      <c r="AV18" s="3">
        <f t="shared" si="2"/>
        <v>1331282.11</v>
      </c>
      <c r="AW18" s="3">
        <f t="shared" si="2"/>
        <v>1331282.11</v>
      </c>
      <c r="AX18" s="3">
        <f t="shared" si="2"/>
        <v>0</v>
      </c>
      <c r="AY18" s="3">
        <f t="shared" si="2"/>
        <v>1331282.11</v>
      </c>
      <c r="AZ18" s="3">
        <f t="shared" si="2"/>
        <v>0</v>
      </c>
      <c r="BA18" s="3">
        <f t="shared" si="2"/>
        <v>0</v>
      </c>
      <c r="BB18" s="3">
        <f t="shared" si="2"/>
        <v>0</v>
      </c>
      <c r="BC18" s="3">
        <f t="shared" si="2"/>
        <v>0</v>
      </c>
      <c r="BD18" s="3">
        <f t="shared" si="2"/>
        <v>126.63</v>
      </c>
      <c r="BE18" s="3">
        <f t="shared" si="2"/>
        <v>0</v>
      </c>
      <c r="BF18" s="3">
        <f t="shared" si="2"/>
        <v>0</v>
      </c>
      <c r="BG18" s="3">
        <f t="shared" si="2"/>
        <v>0</v>
      </c>
      <c r="BH18" s="3">
        <f t="shared" si="2"/>
        <v>0</v>
      </c>
      <c r="BI18" s="3">
        <f t="shared" si="2"/>
        <v>0</v>
      </c>
      <c r="BJ18" s="3">
        <f t="shared" si="2"/>
        <v>0</v>
      </c>
      <c r="BK18" s="3">
        <f t="shared" si="2"/>
        <v>0</v>
      </c>
      <c r="BL18" s="3">
        <f t="shared" si="2"/>
        <v>0</v>
      </c>
      <c r="BM18" s="3">
        <f t="shared" si="2"/>
        <v>0</v>
      </c>
      <c r="BN18" s="3">
        <f t="shared" si="2"/>
        <v>0</v>
      </c>
      <c r="BO18" s="3">
        <f t="shared" si="2"/>
        <v>0</v>
      </c>
      <c r="BP18" s="3">
        <f t="shared" si="2"/>
        <v>0</v>
      </c>
      <c r="BQ18" s="3">
        <f t="shared" si="2"/>
        <v>0</v>
      </c>
      <c r="BR18" s="3">
        <f t="shared" si="2"/>
        <v>0</v>
      </c>
      <c r="BS18" s="3">
        <f t="shared" si="2"/>
        <v>0</v>
      </c>
      <c r="BT18" s="3">
        <f t="shared" si="2"/>
        <v>0</v>
      </c>
      <c r="BU18" s="3">
        <f t="shared" si="2"/>
        <v>0</v>
      </c>
      <c r="BV18" s="3">
        <f t="shared" si="2"/>
        <v>0</v>
      </c>
      <c r="BW18" s="3">
        <f t="shared" si="2"/>
        <v>0</v>
      </c>
      <c r="BX18" s="3">
        <f t="shared" si="2"/>
        <v>0</v>
      </c>
      <c r="BY18" s="3">
        <f t="shared" si="2"/>
        <v>0</v>
      </c>
      <c r="BZ18" s="3">
        <f t="shared" si="2"/>
        <v>0</v>
      </c>
      <c r="CA18" s="3">
        <f aca="true" t="shared" si="3" ref="CA18:DF18">CA168</f>
        <v>0</v>
      </c>
      <c r="CB18" s="3">
        <f t="shared" si="3"/>
        <v>0</v>
      </c>
      <c r="CC18" s="3">
        <f t="shared" si="3"/>
        <v>0</v>
      </c>
      <c r="CD18" s="3">
        <f t="shared" si="3"/>
        <v>0</v>
      </c>
      <c r="CE18" s="3">
        <f t="shared" si="3"/>
        <v>0</v>
      </c>
      <c r="CF18" s="3">
        <f t="shared" si="3"/>
        <v>0</v>
      </c>
      <c r="CG18" s="3">
        <f t="shared" si="3"/>
        <v>0</v>
      </c>
      <c r="CH18" s="3">
        <f t="shared" si="3"/>
        <v>0</v>
      </c>
      <c r="CI18" s="3">
        <f t="shared" si="3"/>
        <v>0</v>
      </c>
      <c r="CJ18" s="3">
        <f t="shared" si="3"/>
        <v>0</v>
      </c>
      <c r="CK18" s="3">
        <f t="shared" si="3"/>
        <v>0</v>
      </c>
      <c r="CL18" s="3">
        <f t="shared" si="3"/>
        <v>0</v>
      </c>
      <c r="CM18" s="3">
        <f t="shared" si="3"/>
        <v>0</v>
      </c>
      <c r="CN18" s="3">
        <f t="shared" si="3"/>
        <v>0</v>
      </c>
      <c r="CO18" s="3">
        <f t="shared" si="3"/>
        <v>0</v>
      </c>
      <c r="CP18" s="3">
        <f t="shared" si="3"/>
        <v>0</v>
      </c>
      <c r="CQ18" s="3">
        <f t="shared" si="3"/>
        <v>0</v>
      </c>
      <c r="CR18" s="3">
        <f t="shared" si="3"/>
        <v>0</v>
      </c>
      <c r="CS18" s="3">
        <f t="shared" si="3"/>
        <v>0</v>
      </c>
      <c r="CT18" s="3">
        <f t="shared" si="3"/>
        <v>0</v>
      </c>
      <c r="CU18" s="3">
        <f t="shared" si="3"/>
        <v>0</v>
      </c>
      <c r="CV18" s="3">
        <f t="shared" si="3"/>
        <v>0</v>
      </c>
      <c r="CW18" s="3">
        <f t="shared" si="3"/>
        <v>0</v>
      </c>
      <c r="CX18" s="3">
        <f t="shared" si="3"/>
        <v>0</v>
      </c>
      <c r="CY18" s="3">
        <f t="shared" si="3"/>
        <v>0</v>
      </c>
      <c r="CZ18" s="3">
        <f t="shared" si="3"/>
        <v>0</v>
      </c>
      <c r="DA18" s="3">
        <f t="shared" si="3"/>
        <v>0</v>
      </c>
      <c r="DB18" s="3">
        <f t="shared" si="3"/>
        <v>0</v>
      </c>
      <c r="DC18" s="3">
        <f t="shared" si="3"/>
        <v>0</v>
      </c>
      <c r="DD18" s="3">
        <f t="shared" si="3"/>
        <v>0</v>
      </c>
      <c r="DE18" s="3">
        <f t="shared" si="3"/>
        <v>0</v>
      </c>
      <c r="DF18" s="3">
        <f t="shared" si="3"/>
        <v>0</v>
      </c>
      <c r="DG18" s="4">
        <f aca="true" t="shared" si="4" ref="DG18:EL18">DG168</f>
        <v>1419630.39</v>
      </c>
      <c r="DH18" s="4">
        <f t="shared" si="4"/>
        <v>1340937.04</v>
      </c>
      <c r="DI18" s="4">
        <f t="shared" si="4"/>
        <v>6323.68</v>
      </c>
      <c r="DJ18" s="4">
        <f t="shared" si="4"/>
        <v>2343.26</v>
      </c>
      <c r="DK18" s="4">
        <f t="shared" si="4"/>
        <v>72369.67</v>
      </c>
      <c r="DL18" s="4">
        <f t="shared" si="4"/>
        <v>0</v>
      </c>
      <c r="DM18" s="4">
        <f t="shared" si="4"/>
        <v>196.45770199999998</v>
      </c>
      <c r="DN18" s="4">
        <f t="shared" si="4"/>
        <v>5.1020650000000005</v>
      </c>
      <c r="DO18" s="4">
        <f t="shared" si="4"/>
        <v>0</v>
      </c>
      <c r="DP18" s="4">
        <f t="shared" si="4"/>
        <v>70305.36</v>
      </c>
      <c r="DQ18" s="4">
        <f t="shared" si="4"/>
        <v>41716.55</v>
      </c>
      <c r="DR18" s="4">
        <f t="shared" si="4"/>
        <v>0</v>
      </c>
      <c r="DS18" s="4">
        <f t="shared" si="4"/>
        <v>0</v>
      </c>
      <c r="DT18" s="4">
        <f t="shared" si="4"/>
        <v>0</v>
      </c>
      <c r="DU18" s="4">
        <f t="shared" si="4"/>
        <v>0</v>
      </c>
      <c r="DV18" s="4">
        <f t="shared" si="4"/>
        <v>0</v>
      </c>
      <c r="DW18" s="4">
        <f t="shared" si="4"/>
        <v>0</v>
      </c>
      <c r="DX18" s="4">
        <f t="shared" si="4"/>
        <v>0</v>
      </c>
      <c r="DY18" s="4">
        <f t="shared" si="4"/>
        <v>0</v>
      </c>
      <c r="DZ18" s="4">
        <f t="shared" si="4"/>
        <v>0</v>
      </c>
      <c r="EA18" s="4">
        <f t="shared" si="4"/>
        <v>0</v>
      </c>
      <c r="EB18" s="4">
        <f t="shared" si="4"/>
        <v>0</v>
      </c>
      <c r="EC18" s="4">
        <f t="shared" si="4"/>
        <v>0</v>
      </c>
      <c r="ED18" s="4">
        <f t="shared" si="4"/>
        <v>0</v>
      </c>
      <c r="EE18" s="4">
        <f t="shared" si="4"/>
        <v>0</v>
      </c>
      <c r="EF18" s="4">
        <f t="shared" si="4"/>
        <v>0</v>
      </c>
      <c r="EG18" s="4">
        <f t="shared" si="4"/>
        <v>0</v>
      </c>
      <c r="EH18" s="4">
        <f t="shared" si="4"/>
        <v>0</v>
      </c>
      <c r="EI18" s="4">
        <f t="shared" si="4"/>
        <v>0</v>
      </c>
      <c r="EJ18" s="4">
        <f t="shared" si="4"/>
        <v>1533328.94</v>
      </c>
      <c r="EK18" s="4">
        <f t="shared" si="4"/>
        <v>1276368.94</v>
      </c>
      <c r="EL18" s="4">
        <f t="shared" si="4"/>
        <v>256960</v>
      </c>
      <c r="EM18" s="4">
        <f aca="true" t="shared" si="5" ref="EM18:FR18">EM168</f>
        <v>0</v>
      </c>
      <c r="EN18" s="4">
        <f t="shared" si="5"/>
        <v>1340937.04</v>
      </c>
      <c r="EO18" s="4">
        <f t="shared" si="5"/>
        <v>1340937.04</v>
      </c>
      <c r="EP18" s="4">
        <f t="shared" si="5"/>
        <v>0</v>
      </c>
      <c r="EQ18" s="4">
        <f t="shared" si="5"/>
        <v>1340937.04</v>
      </c>
      <c r="ER18" s="4">
        <f t="shared" si="5"/>
        <v>0</v>
      </c>
      <c r="ES18" s="4">
        <f t="shared" si="5"/>
        <v>0</v>
      </c>
      <c r="ET18" s="4">
        <f t="shared" si="5"/>
        <v>0</v>
      </c>
      <c r="EU18" s="4">
        <f t="shared" si="5"/>
        <v>0</v>
      </c>
      <c r="EV18" s="4">
        <f t="shared" si="5"/>
        <v>1676.64</v>
      </c>
      <c r="EW18" s="4">
        <f t="shared" si="5"/>
        <v>0</v>
      </c>
      <c r="EX18" s="4">
        <f t="shared" si="5"/>
        <v>0</v>
      </c>
      <c r="EY18" s="4">
        <f t="shared" si="5"/>
        <v>0</v>
      </c>
      <c r="EZ18" s="4">
        <f t="shared" si="5"/>
        <v>0</v>
      </c>
      <c r="FA18" s="4">
        <f t="shared" si="5"/>
        <v>0</v>
      </c>
      <c r="FB18" s="4">
        <f t="shared" si="5"/>
        <v>0</v>
      </c>
      <c r="FC18" s="4">
        <f t="shared" si="5"/>
        <v>0</v>
      </c>
      <c r="FD18" s="4">
        <f t="shared" si="5"/>
        <v>0</v>
      </c>
      <c r="FE18" s="4">
        <f t="shared" si="5"/>
        <v>0</v>
      </c>
      <c r="FF18" s="4">
        <f t="shared" si="5"/>
        <v>0</v>
      </c>
      <c r="FG18" s="4">
        <f t="shared" si="5"/>
        <v>0</v>
      </c>
      <c r="FH18" s="4">
        <f t="shared" si="5"/>
        <v>0</v>
      </c>
      <c r="FI18" s="4">
        <f t="shared" si="5"/>
        <v>0</v>
      </c>
      <c r="FJ18" s="4">
        <f t="shared" si="5"/>
        <v>0</v>
      </c>
      <c r="FK18" s="4">
        <f t="shared" si="5"/>
        <v>0</v>
      </c>
      <c r="FL18" s="4">
        <f t="shared" si="5"/>
        <v>0</v>
      </c>
      <c r="FM18" s="4">
        <f t="shared" si="5"/>
        <v>0</v>
      </c>
      <c r="FN18" s="4">
        <f t="shared" si="5"/>
        <v>0</v>
      </c>
      <c r="FO18" s="4">
        <f t="shared" si="5"/>
        <v>0</v>
      </c>
      <c r="FP18" s="4">
        <f t="shared" si="5"/>
        <v>0</v>
      </c>
      <c r="FQ18" s="4">
        <f t="shared" si="5"/>
        <v>0</v>
      </c>
      <c r="FR18" s="4">
        <f t="shared" si="5"/>
        <v>0</v>
      </c>
      <c r="FS18" s="4">
        <f aca="true" t="shared" si="6" ref="FS18:GX18">FS168</f>
        <v>0</v>
      </c>
      <c r="FT18" s="4">
        <f t="shared" si="6"/>
        <v>0</v>
      </c>
      <c r="FU18" s="4">
        <f t="shared" si="6"/>
        <v>0</v>
      </c>
      <c r="FV18" s="4">
        <f t="shared" si="6"/>
        <v>0</v>
      </c>
      <c r="FW18" s="4">
        <f t="shared" si="6"/>
        <v>0</v>
      </c>
      <c r="FX18" s="4">
        <f t="shared" si="6"/>
        <v>0</v>
      </c>
      <c r="FY18" s="4">
        <f t="shared" si="6"/>
        <v>0</v>
      </c>
      <c r="FZ18" s="4">
        <f t="shared" si="6"/>
        <v>0</v>
      </c>
      <c r="GA18" s="4">
        <f t="shared" si="6"/>
        <v>0</v>
      </c>
      <c r="GB18" s="4">
        <f t="shared" si="6"/>
        <v>0</v>
      </c>
      <c r="GC18" s="4">
        <f t="shared" si="6"/>
        <v>0</v>
      </c>
      <c r="GD18" s="4">
        <f t="shared" si="6"/>
        <v>0</v>
      </c>
      <c r="GE18" s="4">
        <f t="shared" si="6"/>
        <v>0</v>
      </c>
      <c r="GF18" s="4">
        <f t="shared" si="6"/>
        <v>0</v>
      </c>
      <c r="GG18" s="4">
        <f t="shared" si="6"/>
        <v>0</v>
      </c>
      <c r="GH18" s="4">
        <f t="shared" si="6"/>
        <v>0</v>
      </c>
      <c r="GI18" s="4">
        <f t="shared" si="6"/>
        <v>0</v>
      </c>
      <c r="GJ18" s="4">
        <f t="shared" si="6"/>
        <v>0</v>
      </c>
      <c r="GK18" s="4">
        <f t="shared" si="6"/>
        <v>0</v>
      </c>
      <c r="GL18" s="4">
        <f t="shared" si="6"/>
        <v>0</v>
      </c>
      <c r="GM18" s="4">
        <f t="shared" si="6"/>
        <v>0</v>
      </c>
      <c r="GN18" s="4">
        <f t="shared" si="6"/>
        <v>0</v>
      </c>
      <c r="GO18" s="4">
        <f t="shared" si="6"/>
        <v>0</v>
      </c>
      <c r="GP18" s="4">
        <f t="shared" si="6"/>
        <v>0</v>
      </c>
      <c r="GQ18" s="4">
        <f t="shared" si="6"/>
        <v>0</v>
      </c>
      <c r="GR18" s="4">
        <f t="shared" si="6"/>
        <v>0</v>
      </c>
      <c r="GS18" s="4">
        <f t="shared" si="6"/>
        <v>0</v>
      </c>
      <c r="GT18" s="4">
        <f t="shared" si="6"/>
        <v>0</v>
      </c>
      <c r="GU18" s="4">
        <f t="shared" si="6"/>
        <v>0</v>
      </c>
      <c r="GV18" s="4">
        <f t="shared" si="6"/>
        <v>0</v>
      </c>
      <c r="GW18" s="4">
        <f t="shared" si="6"/>
        <v>0</v>
      </c>
      <c r="GX18" s="4">
        <f t="shared" si="6"/>
        <v>0</v>
      </c>
    </row>
    <row r="20" spans="1:95" ht="12.75">
      <c r="A20" s="1">
        <v>3</v>
      </c>
      <c r="B20" s="1">
        <v>1</v>
      </c>
      <c r="C20" s="1"/>
      <c r="D20" s="1">
        <f>ROW(A134)</f>
        <v>134</v>
      </c>
      <c r="E20" s="1"/>
      <c r="F20" s="1" t="s">
        <v>3</v>
      </c>
      <c r="G20" s="1" t="s">
        <v>3</v>
      </c>
      <c r="H20" s="1" t="s">
        <v>3</v>
      </c>
      <c r="I20" s="1">
        <v>0</v>
      </c>
      <c r="J20" s="1" t="s">
        <v>3</v>
      </c>
      <c r="K20" s="1">
        <v>-1</v>
      </c>
      <c r="L20" s="1" t="s">
        <v>3</v>
      </c>
      <c r="M20" s="1" t="s">
        <v>3</v>
      </c>
      <c r="N20" s="1"/>
      <c r="O20" s="1"/>
      <c r="P20" s="1"/>
      <c r="Q20" s="1"/>
      <c r="R20" s="1"/>
      <c r="S20" s="1">
        <v>0</v>
      </c>
      <c r="T20" s="1">
        <v>0</v>
      </c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19</v>
      </c>
      <c r="AC20" s="1" t="s">
        <v>20</v>
      </c>
      <c r="AD20" s="1" t="s">
        <v>3</v>
      </c>
      <c r="AE20" s="1" t="s">
        <v>3</v>
      </c>
      <c r="AF20" s="1" t="s">
        <v>3</v>
      </c>
      <c r="AG20" s="1" t="s">
        <v>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</row>
    <row r="22" spans="1:206" ht="12.75">
      <c r="A22" s="3">
        <v>52</v>
      </c>
      <c r="B22" s="3">
        <f aca="true" t="shared" si="7" ref="B22:G22">B134</f>
        <v>1</v>
      </c>
      <c r="C22" s="3">
        <f t="shared" si="7"/>
        <v>3</v>
      </c>
      <c r="D22" s="3">
        <f t="shared" si="7"/>
        <v>20</v>
      </c>
      <c r="E22" s="3">
        <f t="shared" si="7"/>
        <v>0</v>
      </c>
      <c r="F22" s="3">
        <f t="shared" si="7"/>
      </c>
      <c r="G22" s="3">
        <f t="shared" si="7"/>
      </c>
      <c r="H22" s="3"/>
      <c r="I22" s="3"/>
      <c r="J22" s="3"/>
      <c r="K22" s="3"/>
      <c r="L22" s="3"/>
      <c r="M22" s="3"/>
      <c r="N22" s="3"/>
      <c r="O22" s="3">
        <f aca="true" t="shared" si="8" ref="O22:AT22">O134</f>
        <v>1333697.86</v>
      </c>
      <c r="P22" s="3">
        <f t="shared" si="8"/>
        <v>1331282.11</v>
      </c>
      <c r="Q22" s="3">
        <f t="shared" si="8"/>
        <v>477.62</v>
      </c>
      <c r="R22" s="3">
        <f t="shared" si="8"/>
        <v>62.76</v>
      </c>
      <c r="S22" s="3">
        <f t="shared" si="8"/>
        <v>1938.13</v>
      </c>
      <c r="T22" s="3">
        <f t="shared" si="8"/>
        <v>0</v>
      </c>
      <c r="U22" s="3">
        <f t="shared" si="8"/>
        <v>196.45770199999998</v>
      </c>
      <c r="V22" s="3">
        <f t="shared" si="8"/>
        <v>5.1020650000000005</v>
      </c>
      <c r="W22" s="3">
        <f t="shared" si="8"/>
        <v>0</v>
      </c>
      <c r="X22" s="3">
        <f t="shared" si="8"/>
        <v>1882.86</v>
      </c>
      <c r="Y22" s="3">
        <f t="shared" si="8"/>
        <v>1117.21</v>
      </c>
      <c r="Z22" s="3">
        <f t="shared" si="8"/>
        <v>0</v>
      </c>
      <c r="AA22" s="3">
        <f t="shared" si="8"/>
        <v>0</v>
      </c>
      <c r="AB22" s="3">
        <f t="shared" si="8"/>
        <v>0</v>
      </c>
      <c r="AC22" s="3">
        <f t="shared" si="8"/>
        <v>0</v>
      </c>
      <c r="AD22" s="3">
        <f t="shared" si="8"/>
        <v>0</v>
      </c>
      <c r="AE22" s="3">
        <f t="shared" si="8"/>
        <v>0</v>
      </c>
      <c r="AF22" s="3">
        <f t="shared" si="8"/>
        <v>0</v>
      </c>
      <c r="AG22" s="3">
        <f t="shared" si="8"/>
        <v>0</v>
      </c>
      <c r="AH22" s="3">
        <f t="shared" si="8"/>
        <v>0</v>
      </c>
      <c r="AI22" s="3">
        <f t="shared" si="8"/>
        <v>0</v>
      </c>
      <c r="AJ22" s="3">
        <f t="shared" si="8"/>
        <v>0</v>
      </c>
      <c r="AK22" s="3">
        <f t="shared" si="8"/>
        <v>0</v>
      </c>
      <c r="AL22" s="3">
        <f t="shared" si="8"/>
        <v>0</v>
      </c>
      <c r="AM22" s="3">
        <f t="shared" si="8"/>
        <v>0</v>
      </c>
      <c r="AN22" s="3">
        <f t="shared" si="8"/>
        <v>0</v>
      </c>
      <c r="AO22" s="3">
        <f t="shared" si="8"/>
        <v>0</v>
      </c>
      <c r="AP22" s="3">
        <f t="shared" si="8"/>
        <v>0</v>
      </c>
      <c r="AQ22" s="3">
        <f t="shared" si="8"/>
        <v>0</v>
      </c>
      <c r="AR22" s="3">
        <f t="shared" si="8"/>
        <v>1336824.56</v>
      </c>
      <c r="AS22" s="3">
        <f t="shared" si="8"/>
        <v>1079864.56</v>
      </c>
      <c r="AT22" s="3">
        <f t="shared" si="8"/>
        <v>256960</v>
      </c>
      <c r="AU22" s="3">
        <f aca="true" t="shared" si="9" ref="AU22:BZ22">AU134</f>
        <v>0</v>
      </c>
      <c r="AV22" s="3">
        <f t="shared" si="9"/>
        <v>1331282.11</v>
      </c>
      <c r="AW22" s="3">
        <f t="shared" si="9"/>
        <v>1331282.11</v>
      </c>
      <c r="AX22" s="3">
        <f t="shared" si="9"/>
        <v>0</v>
      </c>
      <c r="AY22" s="3">
        <f t="shared" si="9"/>
        <v>1331282.11</v>
      </c>
      <c r="AZ22" s="3">
        <f t="shared" si="9"/>
        <v>0</v>
      </c>
      <c r="BA22" s="3">
        <f t="shared" si="9"/>
        <v>0</v>
      </c>
      <c r="BB22" s="3">
        <f t="shared" si="9"/>
        <v>0</v>
      </c>
      <c r="BC22" s="3">
        <f t="shared" si="9"/>
        <v>0</v>
      </c>
      <c r="BD22" s="3">
        <f t="shared" si="9"/>
        <v>126.63</v>
      </c>
      <c r="BE22" s="3">
        <f t="shared" si="9"/>
        <v>0</v>
      </c>
      <c r="BF22" s="3">
        <f t="shared" si="9"/>
        <v>0</v>
      </c>
      <c r="BG22" s="3">
        <f t="shared" si="9"/>
        <v>0</v>
      </c>
      <c r="BH22" s="3">
        <f t="shared" si="9"/>
        <v>0</v>
      </c>
      <c r="BI22" s="3">
        <f t="shared" si="9"/>
        <v>0</v>
      </c>
      <c r="BJ22" s="3">
        <f t="shared" si="9"/>
        <v>0</v>
      </c>
      <c r="BK22" s="3">
        <f t="shared" si="9"/>
        <v>0</v>
      </c>
      <c r="BL22" s="3">
        <f t="shared" si="9"/>
        <v>0</v>
      </c>
      <c r="BM22" s="3">
        <f t="shared" si="9"/>
        <v>0</v>
      </c>
      <c r="BN22" s="3">
        <f t="shared" si="9"/>
        <v>0</v>
      </c>
      <c r="BO22" s="3">
        <f t="shared" si="9"/>
        <v>0</v>
      </c>
      <c r="BP22" s="3">
        <f t="shared" si="9"/>
        <v>0</v>
      </c>
      <c r="BQ22" s="3">
        <f t="shared" si="9"/>
        <v>0</v>
      </c>
      <c r="BR22" s="3">
        <f t="shared" si="9"/>
        <v>0</v>
      </c>
      <c r="BS22" s="3">
        <f t="shared" si="9"/>
        <v>0</v>
      </c>
      <c r="BT22" s="3">
        <f t="shared" si="9"/>
        <v>0</v>
      </c>
      <c r="BU22" s="3">
        <f t="shared" si="9"/>
        <v>0</v>
      </c>
      <c r="BV22" s="3">
        <f t="shared" si="9"/>
        <v>0</v>
      </c>
      <c r="BW22" s="3">
        <f t="shared" si="9"/>
        <v>0</v>
      </c>
      <c r="BX22" s="3">
        <f t="shared" si="9"/>
        <v>0</v>
      </c>
      <c r="BY22" s="3">
        <f t="shared" si="9"/>
        <v>0</v>
      </c>
      <c r="BZ22" s="3">
        <f t="shared" si="9"/>
        <v>0</v>
      </c>
      <c r="CA22" s="3">
        <f aca="true" t="shared" si="10" ref="CA22:DF22">CA134</f>
        <v>0</v>
      </c>
      <c r="CB22" s="3">
        <f t="shared" si="10"/>
        <v>0</v>
      </c>
      <c r="CC22" s="3">
        <f t="shared" si="10"/>
        <v>0</v>
      </c>
      <c r="CD22" s="3">
        <f t="shared" si="10"/>
        <v>0</v>
      </c>
      <c r="CE22" s="3">
        <f t="shared" si="10"/>
        <v>0</v>
      </c>
      <c r="CF22" s="3">
        <f t="shared" si="10"/>
        <v>0</v>
      </c>
      <c r="CG22" s="3">
        <f t="shared" si="10"/>
        <v>0</v>
      </c>
      <c r="CH22" s="3">
        <f t="shared" si="10"/>
        <v>0</v>
      </c>
      <c r="CI22" s="3">
        <f t="shared" si="10"/>
        <v>0</v>
      </c>
      <c r="CJ22" s="3">
        <f t="shared" si="10"/>
        <v>0</v>
      </c>
      <c r="CK22" s="3">
        <f t="shared" si="10"/>
        <v>0</v>
      </c>
      <c r="CL22" s="3">
        <f t="shared" si="10"/>
        <v>0</v>
      </c>
      <c r="CM22" s="3">
        <f t="shared" si="10"/>
        <v>0</v>
      </c>
      <c r="CN22" s="3">
        <f t="shared" si="10"/>
        <v>0</v>
      </c>
      <c r="CO22" s="3">
        <f t="shared" si="10"/>
        <v>0</v>
      </c>
      <c r="CP22" s="3">
        <f t="shared" si="10"/>
        <v>0</v>
      </c>
      <c r="CQ22" s="3">
        <f t="shared" si="10"/>
        <v>0</v>
      </c>
      <c r="CR22" s="3">
        <f t="shared" si="10"/>
        <v>0</v>
      </c>
      <c r="CS22" s="3">
        <f t="shared" si="10"/>
        <v>0</v>
      </c>
      <c r="CT22" s="3">
        <f t="shared" si="10"/>
        <v>0</v>
      </c>
      <c r="CU22" s="3">
        <f t="shared" si="10"/>
        <v>0</v>
      </c>
      <c r="CV22" s="3">
        <f t="shared" si="10"/>
        <v>0</v>
      </c>
      <c r="CW22" s="3">
        <f t="shared" si="10"/>
        <v>0</v>
      </c>
      <c r="CX22" s="3">
        <f t="shared" si="10"/>
        <v>0</v>
      </c>
      <c r="CY22" s="3">
        <f t="shared" si="10"/>
        <v>0</v>
      </c>
      <c r="CZ22" s="3">
        <f t="shared" si="10"/>
        <v>0</v>
      </c>
      <c r="DA22" s="3">
        <f t="shared" si="10"/>
        <v>0</v>
      </c>
      <c r="DB22" s="3">
        <f t="shared" si="10"/>
        <v>0</v>
      </c>
      <c r="DC22" s="3">
        <f t="shared" si="10"/>
        <v>0</v>
      </c>
      <c r="DD22" s="3">
        <f t="shared" si="10"/>
        <v>0</v>
      </c>
      <c r="DE22" s="3">
        <f t="shared" si="10"/>
        <v>0</v>
      </c>
      <c r="DF22" s="3">
        <f t="shared" si="10"/>
        <v>0</v>
      </c>
      <c r="DG22" s="4">
        <f aca="true" t="shared" si="11" ref="DG22:EL22">DG134</f>
        <v>1419630.39</v>
      </c>
      <c r="DH22" s="4">
        <f t="shared" si="11"/>
        <v>1340937.04</v>
      </c>
      <c r="DI22" s="4">
        <f t="shared" si="11"/>
        <v>6323.68</v>
      </c>
      <c r="DJ22" s="4">
        <f t="shared" si="11"/>
        <v>2343.26</v>
      </c>
      <c r="DK22" s="4">
        <f t="shared" si="11"/>
        <v>72369.67</v>
      </c>
      <c r="DL22" s="4">
        <f t="shared" si="11"/>
        <v>0</v>
      </c>
      <c r="DM22" s="4">
        <f t="shared" si="11"/>
        <v>196.45770199999998</v>
      </c>
      <c r="DN22" s="4">
        <f t="shared" si="11"/>
        <v>5.1020650000000005</v>
      </c>
      <c r="DO22" s="4">
        <f t="shared" si="11"/>
        <v>0</v>
      </c>
      <c r="DP22" s="4">
        <f t="shared" si="11"/>
        <v>70305.36</v>
      </c>
      <c r="DQ22" s="4">
        <f t="shared" si="11"/>
        <v>41716.55</v>
      </c>
      <c r="DR22" s="4">
        <f t="shared" si="11"/>
        <v>0</v>
      </c>
      <c r="DS22" s="4">
        <f t="shared" si="11"/>
        <v>0</v>
      </c>
      <c r="DT22" s="4">
        <f t="shared" si="11"/>
        <v>0</v>
      </c>
      <c r="DU22" s="4">
        <f t="shared" si="11"/>
        <v>0</v>
      </c>
      <c r="DV22" s="4">
        <f t="shared" si="11"/>
        <v>0</v>
      </c>
      <c r="DW22" s="4">
        <f t="shared" si="11"/>
        <v>0</v>
      </c>
      <c r="DX22" s="4">
        <f t="shared" si="11"/>
        <v>0</v>
      </c>
      <c r="DY22" s="4">
        <f t="shared" si="11"/>
        <v>0</v>
      </c>
      <c r="DZ22" s="4">
        <f t="shared" si="11"/>
        <v>0</v>
      </c>
      <c r="EA22" s="4">
        <f t="shared" si="11"/>
        <v>0</v>
      </c>
      <c r="EB22" s="4">
        <f t="shared" si="11"/>
        <v>0</v>
      </c>
      <c r="EC22" s="4">
        <f t="shared" si="11"/>
        <v>0</v>
      </c>
      <c r="ED22" s="4">
        <f t="shared" si="11"/>
        <v>0</v>
      </c>
      <c r="EE22" s="4">
        <f t="shared" si="11"/>
        <v>0</v>
      </c>
      <c r="EF22" s="4">
        <f t="shared" si="11"/>
        <v>0</v>
      </c>
      <c r="EG22" s="4">
        <f t="shared" si="11"/>
        <v>0</v>
      </c>
      <c r="EH22" s="4">
        <f t="shared" si="11"/>
        <v>0</v>
      </c>
      <c r="EI22" s="4">
        <f t="shared" si="11"/>
        <v>0</v>
      </c>
      <c r="EJ22" s="4">
        <f t="shared" si="11"/>
        <v>1533328.94</v>
      </c>
      <c r="EK22" s="4">
        <f t="shared" si="11"/>
        <v>1276368.94</v>
      </c>
      <c r="EL22" s="4">
        <f t="shared" si="11"/>
        <v>256960</v>
      </c>
      <c r="EM22" s="4">
        <f aca="true" t="shared" si="12" ref="EM22:FR22">EM134</f>
        <v>0</v>
      </c>
      <c r="EN22" s="4">
        <f t="shared" si="12"/>
        <v>1340937.04</v>
      </c>
      <c r="EO22" s="4">
        <f t="shared" si="12"/>
        <v>1340937.04</v>
      </c>
      <c r="EP22" s="4">
        <f t="shared" si="12"/>
        <v>0</v>
      </c>
      <c r="EQ22" s="4">
        <f t="shared" si="12"/>
        <v>1340937.04</v>
      </c>
      <c r="ER22" s="4">
        <f t="shared" si="12"/>
        <v>0</v>
      </c>
      <c r="ES22" s="4">
        <f t="shared" si="12"/>
        <v>0</v>
      </c>
      <c r="ET22" s="4">
        <f t="shared" si="12"/>
        <v>0</v>
      </c>
      <c r="EU22" s="4">
        <f t="shared" si="12"/>
        <v>0</v>
      </c>
      <c r="EV22" s="4">
        <f t="shared" si="12"/>
        <v>1676.64</v>
      </c>
      <c r="EW22" s="4">
        <f t="shared" si="12"/>
        <v>0</v>
      </c>
      <c r="EX22" s="4">
        <f t="shared" si="12"/>
        <v>0</v>
      </c>
      <c r="EY22" s="4">
        <f t="shared" si="12"/>
        <v>0</v>
      </c>
      <c r="EZ22" s="4">
        <f t="shared" si="12"/>
        <v>0</v>
      </c>
      <c r="FA22" s="4">
        <f t="shared" si="12"/>
        <v>0</v>
      </c>
      <c r="FB22" s="4">
        <f t="shared" si="12"/>
        <v>0</v>
      </c>
      <c r="FC22" s="4">
        <f t="shared" si="12"/>
        <v>0</v>
      </c>
      <c r="FD22" s="4">
        <f t="shared" si="12"/>
        <v>0</v>
      </c>
      <c r="FE22" s="4">
        <f t="shared" si="12"/>
        <v>0</v>
      </c>
      <c r="FF22" s="4">
        <f t="shared" si="12"/>
        <v>0</v>
      </c>
      <c r="FG22" s="4">
        <f t="shared" si="12"/>
        <v>0</v>
      </c>
      <c r="FH22" s="4">
        <f t="shared" si="12"/>
        <v>0</v>
      </c>
      <c r="FI22" s="4">
        <f t="shared" si="12"/>
        <v>0</v>
      </c>
      <c r="FJ22" s="4">
        <f t="shared" si="12"/>
        <v>0</v>
      </c>
      <c r="FK22" s="4">
        <f t="shared" si="12"/>
        <v>0</v>
      </c>
      <c r="FL22" s="4">
        <f t="shared" si="12"/>
        <v>0</v>
      </c>
      <c r="FM22" s="4">
        <f t="shared" si="12"/>
        <v>0</v>
      </c>
      <c r="FN22" s="4">
        <f t="shared" si="12"/>
        <v>0</v>
      </c>
      <c r="FO22" s="4">
        <f t="shared" si="12"/>
        <v>0</v>
      </c>
      <c r="FP22" s="4">
        <f t="shared" si="12"/>
        <v>0</v>
      </c>
      <c r="FQ22" s="4">
        <f t="shared" si="12"/>
        <v>0</v>
      </c>
      <c r="FR22" s="4">
        <f t="shared" si="12"/>
        <v>0</v>
      </c>
      <c r="FS22" s="4">
        <f aca="true" t="shared" si="13" ref="FS22:GX22">FS134</f>
        <v>0</v>
      </c>
      <c r="FT22" s="4">
        <f t="shared" si="13"/>
        <v>0</v>
      </c>
      <c r="FU22" s="4">
        <f t="shared" si="13"/>
        <v>0</v>
      </c>
      <c r="FV22" s="4">
        <f t="shared" si="13"/>
        <v>0</v>
      </c>
      <c r="FW22" s="4">
        <f t="shared" si="13"/>
        <v>0</v>
      </c>
      <c r="FX22" s="4">
        <f t="shared" si="13"/>
        <v>0</v>
      </c>
      <c r="FY22" s="4">
        <f t="shared" si="13"/>
        <v>0</v>
      </c>
      <c r="FZ22" s="4">
        <f t="shared" si="13"/>
        <v>0</v>
      </c>
      <c r="GA22" s="4">
        <f t="shared" si="13"/>
        <v>0</v>
      </c>
      <c r="GB22" s="4">
        <f t="shared" si="13"/>
        <v>0</v>
      </c>
      <c r="GC22" s="4">
        <f t="shared" si="13"/>
        <v>0</v>
      </c>
      <c r="GD22" s="4">
        <f t="shared" si="13"/>
        <v>0</v>
      </c>
      <c r="GE22" s="4">
        <f t="shared" si="13"/>
        <v>0</v>
      </c>
      <c r="GF22" s="4">
        <f t="shared" si="13"/>
        <v>0</v>
      </c>
      <c r="GG22" s="4">
        <f t="shared" si="13"/>
        <v>0</v>
      </c>
      <c r="GH22" s="4">
        <f t="shared" si="13"/>
        <v>0</v>
      </c>
      <c r="GI22" s="4">
        <f t="shared" si="13"/>
        <v>0</v>
      </c>
      <c r="GJ22" s="4">
        <f t="shared" si="13"/>
        <v>0</v>
      </c>
      <c r="GK22" s="4">
        <f t="shared" si="13"/>
        <v>0</v>
      </c>
      <c r="GL22" s="4">
        <f t="shared" si="13"/>
        <v>0</v>
      </c>
      <c r="GM22" s="4">
        <f t="shared" si="13"/>
        <v>0</v>
      </c>
      <c r="GN22" s="4">
        <f t="shared" si="13"/>
        <v>0</v>
      </c>
      <c r="GO22" s="4">
        <f t="shared" si="13"/>
        <v>0</v>
      </c>
      <c r="GP22" s="4">
        <f t="shared" si="13"/>
        <v>0</v>
      </c>
      <c r="GQ22" s="4">
        <f t="shared" si="13"/>
        <v>0</v>
      </c>
      <c r="GR22" s="4">
        <f t="shared" si="13"/>
        <v>0</v>
      </c>
      <c r="GS22" s="4">
        <f t="shared" si="13"/>
        <v>0</v>
      </c>
      <c r="GT22" s="4">
        <f t="shared" si="13"/>
        <v>0</v>
      </c>
      <c r="GU22" s="4">
        <f t="shared" si="13"/>
        <v>0</v>
      </c>
      <c r="GV22" s="4">
        <f t="shared" si="13"/>
        <v>0</v>
      </c>
      <c r="GW22" s="4">
        <f t="shared" si="13"/>
        <v>0</v>
      </c>
      <c r="GX22" s="4">
        <f t="shared" si="13"/>
        <v>0</v>
      </c>
    </row>
    <row r="24" spans="1:88" ht="12.75">
      <c r="A24" s="1">
        <v>4</v>
      </c>
      <c r="B24" s="1">
        <v>1</v>
      </c>
      <c r="C24" s="1"/>
      <c r="D24" s="1">
        <f>ROW(A63)</f>
        <v>63</v>
      </c>
      <c r="E24" s="1"/>
      <c r="F24" s="1" t="s">
        <v>21</v>
      </c>
      <c r="G24" s="1" t="s">
        <v>22</v>
      </c>
      <c r="H24" s="1" t="s">
        <v>3</v>
      </c>
      <c r="I24" s="1">
        <v>0</v>
      </c>
      <c r="J24" s="1"/>
      <c r="K24" s="1">
        <v>-1</v>
      </c>
      <c r="L24" s="1"/>
      <c r="M24" s="1" t="s">
        <v>3</v>
      </c>
      <c r="N24" s="1"/>
      <c r="O24" s="1"/>
      <c r="P24" s="1"/>
      <c r="Q24" s="1"/>
      <c r="R24" s="1"/>
      <c r="S24" s="1">
        <v>0</v>
      </c>
      <c r="T24" s="1">
        <v>0</v>
      </c>
      <c r="U24" s="1" t="s">
        <v>3</v>
      </c>
      <c r="V24" s="1">
        <v>0</v>
      </c>
      <c r="W24" s="1"/>
      <c r="X24" s="1"/>
      <c r="Y24" s="1"/>
      <c r="Z24" s="1"/>
      <c r="AA24" s="1"/>
      <c r="AB24" s="1" t="s">
        <v>3</v>
      </c>
      <c r="AC24" s="1" t="s">
        <v>3</v>
      </c>
      <c r="AD24" s="1" t="s">
        <v>3</v>
      </c>
      <c r="AE24" s="1" t="s">
        <v>3</v>
      </c>
      <c r="AF24" s="1" t="s">
        <v>3</v>
      </c>
      <c r="AG24" s="1" t="s">
        <v>3</v>
      </c>
      <c r="AH24" s="1"/>
      <c r="AI24" s="1"/>
      <c r="AJ24" s="1"/>
      <c r="AK24" s="1"/>
      <c r="AL24" s="1"/>
      <c r="AM24" s="1"/>
      <c r="AN24" s="1"/>
      <c r="AO24" s="1"/>
      <c r="AP24" s="1" t="s">
        <v>3</v>
      </c>
      <c r="AQ24" s="1" t="s">
        <v>3</v>
      </c>
      <c r="AR24" s="1" t="s">
        <v>3</v>
      </c>
      <c r="AS24" s="1"/>
      <c r="AT24" s="1"/>
      <c r="AU24" s="1"/>
      <c r="AV24" s="1"/>
      <c r="AW24" s="1"/>
      <c r="AX24" s="1"/>
      <c r="AY24" s="1"/>
      <c r="AZ24" s="1" t="s">
        <v>3</v>
      </c>
      <c r="BA24" s="1"/>
      <c r="BB24" s="1" t="s">
        <v>3</v>
      </c>
      <c r="BC24" s="1" t="s">
        <v>3</v>
      </c>
      <c r="BD24" s="1" t="s">
        <v>3</v>
      </c>
      <c r="BE24" s="1" t="s">
        <v>3</v>
      </c>
      <c r="BF24" s="1" t="s">
        <v>3</v>
      </c>
      <c r="BG24" s="1" t="s">
        <v>3</v>
      </c>
      <c r="BH24" s="1" t="s">
        <v>3</v>
      </c>
      <c r="BI24" s="1" t="s">
        <v>3</v>
      </c>
      <c r="BJ24" s="1" t="s">
        <v>3</v>
      </c>
      <c r="BK24" s="1" t="s">
        <v>3</v>
      </c>
      <c r="BL24" s="1" t="s">
        <v>3</v>
      </c>
      <c r="BM24" s="1" t="s">
        <v>3</v>
      </c>
      <c r="BN24" s="1" t="s">
        <v>3</v>
      </c>
      <c r="BO24" s="1" t="s">
        <v>3</v>
      </c>
      <c r="BP24" s="1" t="s">
        <v>3</v>
      </c>
      <c r="BQ24" s="1"/>
      <c r="BR24" s="1"/>
      <c r="BS24" s="1"/>
      <c r="BT24" s="1"/>
      <c r="BU24" s="1"/>
      <c r="BV24" s="1"/>
      <c r="BW24" s="1"/>
      <c r="BX24" s="1">
        <v>0</v>
      </c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>
        <v>0</v>
      </c>
    </row>
    <row r="26" spans="1:206" ht="12.75">
      <c r="A26" s="3">
        <v>52</v>
      </c>
      <c r="B26" s="3">
        <f aca="true" t="shared" si="14" ref="B26:G26">B63</f>
        <v>1</v>
      </c>
      <c r="C26" s="3">
        <f t="shared" si="14"/>
        <v>4</v>
      </c>
      <c r="D26" s="3">
        <f t="shared" si="14"/>
        <v>24</v>
      </c>
      <c r="E26" s="3">
        <f t="shared" si="14"/>
        <v>0</v>
      </c>
      <c r="F26" s="3" t="str">
        <f t="shared" si="14"/>
        <v>Новый раздел</v>
      </c>
      <c r="G26" s="3" t="str">
        <f t="shared" si="14"/>
        <v>Ремонтные работы</v>
      </c>
      <c r="H26" s="3"/>
      <c r="I26" s="3"/>
      <c r="J26" s="3"/>
      <c r="K26" s="3"/>
      <c r="L26" s="3"/>
      <c r="M26" s="3"/>
      <c r="N26" s="3"/>
      <c r="O26" s="3">
        <f aca="true" t="shared" si="15" ref="O26:AT26">O63</f>
        <v>1333697.86</v>
      </c>
      <c r="P26" s="3">
        <f t="shared" si="15"/>
        <v>1331282.11</v>
      </c>
      <c r="Q26" s="3">
        <f t="shared" si="15"/>
        <v>477.62</v>
      </c>
      <c r="R26" s="3">
        <f t="shared" si="15"/>
        <v>62.76</v>
      </c>
      <c r="S26" s="3">
        <f t="shared" si="15"/>
        <v>1938.13</v>
      </c>
      <c r="T26" s="3">
        <f t="shared" si="15"/>
        <v>0</v>
      </c>
      <c r="U26" s="3">
        <f t="shared" si="15"/>
        <v>196.45770199999998</v>
      </c>
      <c r="V26" s="3">
        <f t="shared" si="15"/>
        <v>5.1020650000000005</v>
      </c>
      <c r="W26" s="3">
        <f t="shared" si="15"/>
        <v>0</v>
      </c>
      <c r="X26" s="3">
        <f t="shared" si="15"/>
        <v>1882.86</v>
      </c>
      <c r="Y26" s="3">
        <f t="shared" si="15"/>
        <v>1117.21</v>
      </c>
      <c r="Z26" s="3">
        <f t="shared" si="15"/>
        <v>0</v>
      </c>
      <c r="AA26" s="3">
        <f t="shared" si="15"/>
        <v>0</v>
      </c>
      <c r="AB26" s="3">
        <f t="shared" si="15"/>
        <v>1333697.86</v>
      </c>
      <c r="AC26" s="3">
        <f t="shared" si="15"/>
        <v>1331282.11</v>
      </c>
      <c r="AD26" s="3">
        <f t="shared" si="15"/>
        <v>477.62</v>
      </c>
      <c r="AE26" s="3">
        <f t="shared" si="15"/>
        <v>62.76</v>
      </c>
      <c r="AF26" s="3">
        <f t="shared" si="15"/>
        <v>1938.13</v>
      </c>
      <c r="AG26" s="3">
        <f t="shared" si="15"/>
        <v>0</v>
      </c>
      <c r="AH26" s="3">
        <f t="shared" si="15"/>
        <v>196.45770199999998</v>
      </c>
      <c r="AI26" s="3">
        <f t="shared" si="15"/>
        <v>5.1020650000000005</v>
      </c>
      <c r="AJ26" s="3">
        <f t="shared" si="15"/>
        <v>0</v>
      </c>
      <c r="AK26" s="3">
        <f t="shared" si="15"/>
        <v>1882.86</v>
      </c>
      <c r="AL26" s="3">
        <f t="shared" si="15"/>
        <v>1117.21</v>
      </c>
      <c r="AM26" s="3">
        <f t="shared" si="15"/>
        <v>0</v>
      </c>
      <c r="AN26" s="3">
        <f t="shared" si="15"/>
        <v>0</v>
      </c>
      <c r="AO26" s="3">
        <f t="shared" si="15"/>
        <v>0</v>
      </c>
      <c r="AP26" s="3">
        <f t="shared" si="15"/>
        <v>0</v>
      </c>
      <c r="AQ26" s="3">
        <f t="shared" si="15"/>
        <v>0</v>
      </c>
      <c r="AR26" s="3">
        <f t="shared" si="15"/>
        <v>1336697.93</v>
      </c>
      <c r="AS26" s="3">
        <f t="shared" si="15"/>
        <v>1079737.93</v>
      </c>
      <c r="AT26" s="3">
        <f t="shared" si="15"/>
        <v>256960</v>
      </c>
      <c r="AU26" s="3">
        <f aca="true" t="shared" si="16" ref="AU26:BZ26">AU63</f>
        <v>0</v>
      </c>
      <c r="AV26" s="3">
        <f t="shared" si="16"/>
        <v>1331282.11</v>
      </c>
      <c r="AW26" s="3">
        <f t="shared" si="16"/>
        <v>1331282.11</v>
      </c>
      <c r="AX26" s="3">
        <f t="shared" si="16"/>
        <v>0</v>
      </c>
      <c r="AY26" s="3">
        <f t="shared" si="16"/>
        <v>1331282.11</v>
      </c>
      <c r="AZ26" s="3">
        <f t="shared" si="16"/>
        <v>0</v>
      </c>
      <c r="BA26" s="3">
        <f t="shared" si="16"/>
        <v>0</v>
      </c>
      <c r="BB26" s="3">
        <f t="shared" si="16"/>
        <v>0</v>
      </c>
      <c r="BC26" s="3">
        <f t="shared" si="16"/>
        <v>0</v>
      </c>
      <c r="BD26" s="3">
        <f t="shared" si="16"/>
        <v>0</v>
      </c>
      <c r="BE26" s="3">
        <f t="shared" si="16"/>
        <v>0</v>
      </c>
      <c r="BF26" s="3">
        <f t="shared" si="16"/>
        <v>0</v>
      </c>
      <c r="BG26" s="3">
        <f t="shared" si="16"/>
        <v>0</v>
      </c>
      <c r="BH26" s="3">
        <f t="shared" si="16"/>
        <v>0</v>
      </c>
      <c r="BI26" s="3">
        <f t="shared" si="16"/>
        <v>0</v>
      </c>
      <c r="BJ26" s="3">
        <f t="shared" si="16"/>
        <v>0</v>
      </c>
      <c r="BK26" s="3">
        <f t="shared" si="16"/>
        <v>0</v>
      </c>
      <c r="BL26" s="3">
        <f t="shared" si="16"/>
        <v>0</v>
      </c>
      <c r="BM26" s="3">
        <f t="shared" si="16"/>
        <v>0</v>
      </c>
      <c r="BN26" s="3">
        <f t="shared" si="16"/>
        <v>0</v>
      </c>
      <c r="BO26" s="3">
        <f t="shared" si="16"/>
        <v>0</v>
      </c>
      <c r="BP26" s="3">
        <f t="shared" si="16"/>
        <v>0</v>
      </c>
      <c r="BQ26" s="3">
        <f t="shared" si="16"/>
        <v>0</v>
      </c>
      <c r="BR26" s="3">
        <f t="shared" si="16"/>
        <v>0</v>
      </c>
      <c r="BS26" s="3">
        <f t="shared" si="16"/>
        <v>0</v>
      </c>
      <c r="BT26" s="3">
        <f t="shared" si="16"/>
        <v>0</v>
      </c>
      <c r="BU26" s="3">
        <f t="shared" si="16"/>
        <v>0</v>
      </c>
      <c r="BV26" s="3">
        <f t="shared" si="16"/>
        <v>0</v>
      </c>
      <c r="BW26" s="3">
        <f t="shared" si="16"/>
        <v>0</v>
      </c>
      <c r="BX26" s="3">
        <f t="shared" si="16"/>
        <v>0</v>
      </c>
      <c r="BY26" s="3">
        <f t="shared" si="16"/>
        <v>0</v>
      </c>
      <c r="BZ26" s="3">
        <f t="shared" si="16"/>
        <v>0</v>
      </c>
      <c r="CA26" s="3">
        <f aca="true" t="shared" si="17" ref="CA26:DF26">CA63</f>
        <v>1336697.93</v>
      </c>
      <c r="CB26" s="3">
        <f t="shared" si="17"/>
        <v>1079737.93</v>
      </c>
      <c r="CC26" s="3">
        <f t="shared" si="17"/>
        <v>256960</v>
      </c>
      <c r="CD26" s="3">
        <f t="shared" si="17"/>
        <v>0</v>
      </c>
      <c r="CE26" s="3">
        <f t="shared" si="17"/>
        <v>1331282.11</v>
      </c>
      <c r="CF26" s="3">
        <f t="shared" si="17"/>
        <v>1331282.11</v>
      </c>
      <c r="CG26" s="3">
        <f t="shared" si="17"/>
        <v>0</v>
      </c>
      <c r="CH26" s="3">
        <f t="shared" si="17"/>
        <v>1331282.11</v>
      </c>
      <c r="CI26" s="3">
        <f t="shared" si="17"/>
        <v>0</v>
      </c>
      <c r="CJ26" s="3">
        <f t="shared" si="17"/>
        <v>0</v>
      </c>
      <c r="CK26" s="3">
        <f t="shared" si="17"/>
        <v>0</v>
      </c>
      <c r="CL26" s="3">
        <f t="shared" si="17"/>
        <v>0</v>
      </c>
      <c r="CM26" s="3">
        <f t="shared" si="17"/>
        <v>0</v>
      </c>
      <c r="CN26" s="3">
        <f t="shared" si="17"/>
        <v>0</v>
      </c>
      <c r="CO26" s="3">
        <f t="shared" si="17"/>
        <v>0</v>
      </c>
      <c r="CP26" s="3">
        <f t="shared" si="17"/>
        <v>0</v>
      </c>
      <c r="CQ26" s="3">
        <f t="shared" si="17"/>
        <v>0</v>
      </c>
      <c r="CR26" s="3">
        <f t="shared" si="17"/>
        <v>0</v>
      </c>
      <c r="CS26" s="3">
        <f t="shared" si="17"/>
        <v>0</v>
      </c>
      <c r="CT26" s="3">
        <f t="shared" si="17"/>
        <v>0</v>
      </c>
      <c r="CU26" s="3">
        <f t="shared" si="17"/>
        <v>0</v>
      </c>
      <c r="CV26" s="3">
        <f t="shared" si="17"/>
        <v>0</v>
      </c>
      <c r="CW26" s="3">
        <f t="shared" si="17"/>
        <v>0</v>
      </c>
      <c r="CX26" s="3">
        <f t="shared" si="17"/>
        <v>0</v>
      </c>
      <c r="CY26" s="3">
        <f t="shared" si="17"/>
        <v>0</v>
      </c>
      <c r="CZ26" s="3">
        <f t="shared" si="17"/>
        <v>0</v>
      </c>
      <c r="DA26" s="3">
        <f t="shared" si="17"/>
        <v>0</v>
      </c>
      <c r="DB26" s="3">
        <f t="shared" si="17"/>
        <v>0</v>
      </c>
      <c r="DC26" s="3">
        <f t="shared" si="17"/>
        <v>0</v>
      </c>
      <c r="DD26" s="3">
        <f t="shared" si="17"/>
        <v>0</v>
      </c>
      <c r="DE26" s="3">
        <f t="shared" si="17"/>
        <v>0</v>
      </c>
      <c r="DF26" s="3">
        <f t="shared" si="17"/>
        <v>0</v>
      </c>
      <c r="DG26" s="4">
        <f aca="true" t="shared" si="18" ref="DG26:EL26">DG63</f>
        <v>1419630.39</v>
      </c>
      <c r="DH26" s="4">
        <f t="shared" si="18"/>
        <v>1340937.04</v>
      </c>
      <c r="DI26" s="4">
        <f t="shared" si="18"/>
        <v>6323.68</v>
      </c>
      <c r="DJ26" s="4">
        <f t="shared" si="18"/>
        <v>2343.26</v>
      </c>
      <c r="DK26" s="4">
        <f t="shared" si="18"/>
        <v>72369.67</v>
      </c>
      <c r="DL26" s="4">
        <f t="shared" si="18"/>
        <v>0</v>
      </c>
      <c r="DM26" s="4">
        <f t="shared" si="18"/>
        <v>196.45770199999998</v>
      </c>
      <c r="DN26" s="4">
        <f t="shared" si="18"/>
        <v>5.1020650000000005</v>
      </c>
      <c r="DO26" s="4">
        <f t="shared" si="18"/>
        <v>0</v>
      </c>
      <c r="DP26" s="4">
        <f t="shared" si="18"/>
        <v>70305.36</v>
      </c>
      <c r="DQ26" s="4">
        <f t="shared" si="18"/>
        <v>41716.55</v>
      </c>
      <c r="DR26" s="4">
        <f t="shared" si="18"/>
        <v>0</v>
      </c>
      <c r="DS26" s="4">
        <f t="shared" si="18"/>
        <v>0</v>
      </c>
      <c r="DT26" s="4">
        <f t="shared" si="18"/>
        <v>1419630.39</v>
      </c>
      <c r="DU26" s="4">
        <f t="shared" si="18"/>
        <v>1340937.04</v>
      </c>
      <c r="DV26" s="4">
        <f t="shared" si="18"/>
        <v>6323.68</v>
      </c>
      <c r="DW26" s="4">
        <f t="shared" si="18"/>
        <v>2343.26</v>
      </c>
      <c r="DX26" s="4">
        <f t="shared" si="18"/>
        <v>72369.67</v>
      </c>
      <c r="DY26" s="4">
        <f t="shared" si="18"/>
        <v>0</v>
      </c>
      <c r="DZ26" s="4">
        <f t="shared" si="18"/>
        <v>196.45770199999998</v>
      </c>
      <c r="EA26" s="4">
        <f t="shared" si="18"/>
        <v>5.1020650000000005</v>
      </c>
      <c r="EB26" s="4">
        <f t="shared" si="18"/>
        <v>0</v>
      </c>
      <c r="EC26" s="4">
        <f t="shared" si="18"/>
        <v>70305.36</v>
      </c>
      <c r="ED26" s="4">
        <f t="shared" si="18"/>
        <v>41716.55</v>
      </c>
      <c r="EE26" s="4">
        <f t="shared" si="18"/>
        <v>0</v>
      </c>
      <c r="EF26" s="4">
        <f t="shared" si="18"/>
        <v>0</v>
      </c>
      <c r="EG26" s="4">
        <f t="shared" si="18"/>
        <v>0</v>
      </c>
      <c r="EH26" s="4">
        <f t="shared" si="18"/>
        <v>0</v>
      </c>
      <c r="EI26" s="4">
        <f t="shared" si="18"/>
        <v>0</v>
      </c>
      <c r="EJ26" s="4">
        <f t="shared" si="18"/>
        <v>1531652.3</v>
      </c>
      <c r="EK26" s="4">
        <f t="shared" si="18"/>
        <v>1274692.3</v>
      </c>
      <c r="EL26" s="4">
        <f t="shared" si="18"/>
        <v>256960</v>
      </c>
      <c r="EM26" s="4">
        <f aca="true" t="shared" si="19" ref="EM26:FR26">EM63</f>
        <v>0</v>
      </c>
      <c r="EN26" s="4">
        <f t="shared" si="19"/>
        <v>1340937.04</v>
      </c>
      <c r="EO26" s="4">
        <f t="shared" si="19"/>
        <v>1340937.04</v>
      </c>
      <c r="EP26" s="4">
        <f t="shared" si="19"/>
        <v>0</v>
      </c>
      <c r="EQ26" s="4">
        <f t="shared" si="19"/>
        <v>1340937.04</v>
      </c>
      <c r="ER26" s="4">
        <f t="shared" si="19"/>
        <v>0</v>
      </c>
      <c r="ES26" s="4">
        <f t="shared" si="19"/>
        <v>0</v>
      </c>
      <c r="ET26" s="4">
        <f t="shared" si="19"/>
        <v>0</v>
      </c>
      <c r="EU26" s="4">
        <f t="shared" si="19"/>
        <v>0</v>
      </c>
      <c r="EV26" s="4">
        <f t="shared" si="19"/>
        <v>0</v>
      </c>
      <c r="EW26" s="4">
        <f t="shared" si="19"/>
        <v>0</v>
      </c>
      <c r="EX26" s="4">
        <f t="shared" si="19"/>
        <v>0</v>
      </c>
      <c r="EY26" s="4">
        <f t="shared" si="19"/>
        <v>0</v>
      </c>
      <c r="EZ26" s="4">
        <f t="shared" si="19"/>
        <v>0</v>
      </c>
      <c r="FA26" s="4">
        <f t="shared" si="19"/>
        <v>0</v>
      </c>
      <c r="FB26" s="4">
        <f t="shared" si="19"/>
        <v>0</v>
      </c>
      <c r="FC26" s="4">
        <f t="shared" si="19"/>
        <v>0</v>
      </c>
      <c r="FD26" s="4">
        <f t="shared" si="19"/>
        <v>0</v>
      </c>
      <c r="FE26" s="4">
        <f t="shared" si="19"/>
        <v>0</v>
      </c>
      <c r="FF26" s="4">
        <f t="shared" si="19"/>
        <v>0</v>
      </c>
      <c r="FG26" s="4">
        <f t="shared" si="19"/>
        <v>0</v>
      </c>
      <c r="FH26" s="4">
        <f t="shared" si="19"/>
        <v>0</v>
      </c>
      <c r="FI26" s="4">
        <f t="shared" si="19"/>
        <v>0</v>
      </c>
      <c r="FJ26" s="4">
        <f t="shared" si="19"/>
        <v>0</v>
      </c>
      <c r="FK26" s="4">
        <f t="shared" si="19"/>
        <v>0</v>
      </c>
      <c r="FL26" s="4">
        <f t="shared" si="19"/>
        <v>0</v>
      </c>
      <c r="FM26" s="4">
        <f t="shared" si="19"/>
        <v>0</v>
      </c>
      <c r="FN26" s="4">
        <f t="shared" si="19"/>
        <v>0</v>
      </c>
      <c r="FO26" s="4">
        <f t="shared" si="19"/>
        <v>0</v>
      </c>
      <c r="FP26" s="4">
        <f t="shared" si="19"/>
        <v>0</v>
      </c>
      <c r="FQ26" s="4">
        <f t="shared" si="19"/>
        <v>0</v>
      </c>
      <c r="FR26" s="4">
        <f t="shared" si="19"/>
        <v>0</v>
      </c>
      <c r="FS26" s="4">
        <f aca="true" t="shared" si="20" ref="FS26:GX26">FS63</f>
        <v>1531652.3</v>
      </c>
      <c r="FT26" s="4">
        <f t="shared" si="20"/>
        <v>1274692.3</v>
      </c>
      <c r="FU26" s="4">
        <f t="shared" si="20"/>
        <v>256960</v>
      </c>
      <c r="FV26" s="4">
        <f t="shared" si="20"/>
        <v>0</v>
      </c>
      <c r="FW26" s="4">
        <f t="shared" si="20"/>
        <v>1340937.04</v>
      </c>
      <c r="FX26" s="4">
        <f t="shared" si="20"/>
        <v>1340937.04</v>
      </c>
      <c r="FY26" s="4">
        <f t="shared" si="20"/>
        <v>0</v>
      </c>
      <c r="FZ26" s="4">
        <f t="shared" si="20"/>
        <v>1340937.04</v>
      </c>
      <c r="GA26" s="4">
        <f t="shared" si="20"/>
        <v>0</v>
      </c>
      <c r="GB26" s="4">
        <f t="shared" si="20"/>
        <v>0</v>
      </c>
      <c r="GC26" s="4">
        <f t="shared" si="20"/>
        <v>0</v>
      </c>
      <c r="GD26" s="4">
        <f t="shared" si="20"/>
        <v>0</v>
      </c>
      <c r="GE26" s="4">
        <f t="shared" si="20"/>
        <v>0</v>
      </c>
      <c r="GF26" s="4">
        <f t="shared" si="20"/>
        <v>0</v>
      </c>
      <c r="GG26" s="4">
        <f t="shared" si="20"/>
        <v>0</v>
      </c>
      <c r="GH26" s="4">
        <f t="shared" si="20"/>
        <v>0</v>
      </c>
      <c r="GI26" s="4">
        <f t="shared" si="20"/>
        <v>0</v>
      </c>
      <c r="GJ26" s="4">
        <f t="shared" si="20"/>
        <v>0</v>
      </c>
      <c r="GK26" s="4">
        <f t="shared" si="20"/>
        <v>0</v>
      </c>
      <c r="GL26" s="4">
        <f t="shared" si="20"/>
        <v>0</v>
      </c>
      <c r="GM26" s="4">
        <f t="shared" si="20"/>
        <v>0</v>
      </c>
      <c r="GN26" s="4">
        <f t="shared" si="20"/>
        <v>0</v>
      </c>
      <c r="GO26" s="4">
        <f t="shared" si="20"/>
        <v>0</v>
      </c>
      <c r="GP26" s="4">
        <f t="shared" si="20"/>
        <v>0</v>
      </c>
      <c r="GQ26" s="4">
        <f t="shared" si="20"/>
        <v>0</v>
      </c>
      <c r="GR26" s="4">
        <f t="shared" si="20"/>
        <v>0</v>
      </c>
      <c r="GS26" s="4">
        <f t="shared" si="20"/>
        <v>0</v>
      </c>
      <c r="GT26" s="4">
        <f t="shared" si="20"/>
        <v>0</v>
      </c>
      <c r="GU26" s="4">
        <f t="shared" si="20"/>
        <v>0</v>
      </c>
      <c r="GV26" s="4">
        <f t="shared" si="20"/>
        <v>0</v>
      </c>
      <c r="GW26" s="4">
        <f t="shared" si="20"/>
        <v>0</v>
      </c>
      <c r="GX26" s="4">
        <f t="shared" si="20"/>
        <v>0</v>
      </c>
    </row>
    <row r="28" spans="1:255" ht="12.75">
      <c r="A28" s="2">
        <v>17</v>
      </c>
      <c r="B28" s="2">
        <v>1</v>
      </c>
      <c r="C28" s="2">
        <f>ROW(SmtRes!A9)</f>
        <v>9</v>
      </c>
      <c r="D28" s="2">
        <f>ROW(EtalonRes!A13)</f>
        <v>13</v>
      </c>
      <c r="E28" s="2" t="s">
        <v>23</v>
      </c>
      <c r="F28" s="2" t="s">
        <v>24</v>
      </c>
      <c r="G28" s="2" t="s">
        <v>25</v>
      </c>
      <c r="H28" s="2" t="s">
        <v>26</v>
      </c>
      <c r="I28" s="2">
        <f>ROUND(32/100,7)</f>
        <v>0.32</v>
      </c>
      <c r="J28" s="2">
        <v>0</v>
      </c>
      <c r="K28" s="2">
        <f>ROUND(32/100,7)</f>
        <v>0.32</v>
      </c>
      <c r="L28" s="2"/>
      <c r="M28" s="2"/>
      <c r="N28" s="2"/>
      <c r="O28" s="2">
        <f aca="true" t="shared" si="21" ref="O28:O61">ROUND(CP28,2)</f>
        <v>800.37</v>
      </c>
      <c r="P28" s="2">
        <f aca="true" t="shared" si="22" ref="P28:P61">ROUND(CQ28*I28,2)</f>
        <v>0</v>
      </c>
      <c r="Q28" s="2">
        <f aca="true" t="shared" si="23" ref="Q28:Q61">ROUND(CR28*I28,2)</f>
        <v>128.84</v>
      </c>
      <c r="R28" s="2">
        <f aca="true" t="shared" si="24" ref="R28:R61">ROUND(CS28*I28,2)</f>
        <v>7.38</v>
      </c>
      <c r="S28" s="2">
        <f aca="true" t="shared" si="25" ref="S28:S61">ROUND(CT28*I28,2)</f>
        <v>671.53</v>
      </c>
      <c r="T28" s="2">
        <f aca="true" t="shared" si="26" ref="T28:T61">ROUND(CU28*I28,2)</f>
        <v>0</v>
      </c>
      <c r="U28" s="2">
        <f aca="true" t="shared" si="27" ref="U28:U61">CV28*I28</f>
        <v>66.752</v>
      </c>
      <c r="V28" s="2">
        <f aca="true" t="shared" si="28" ref="V28:V61">CW28*I28</f>
        <v>0.55552</v>
      </c>
      <c r="W28" s="2">
        <f aca="true" t="shared" si="29" ref="W28:W61">ROUND(CX28*I28,2)</f>
        <v>0</v>
      </c>
      <c r="X28" s="2">
        <f aca="true" t="shared" si="30" ref="X28:X61">ROUND(CY28,2)</f>
        <v>631.39</v>
      </c>
      <c r="Y28" s="2">
        <f aca="true" t="shared" si="31" ref="Y28:Y61">ROUND(CZ28,2)</f>
        <v>420.92</v>
      </c>
      <c r="Z28" s="2"/>
      <c r="AA28" s="2">
        <v>55668703</v>
      </c>
      <c r="AB28" s="2">
        <f aca="true" t="shared" si="32" ref="AB28:AB61">ROUND((AC28+AD28+AF28),2)</f>
        <v>2501.16</v>
      </c>
      <c r="AC28" s="2">
        <f>ROUND(((ES28*ROUND(0,7))),2)</f>
        <v>0</v>
      </c>
      <c r="AD28" s="2">
        <f>ROUND(((((ET28*ROUND(0.7,7)))-((EU28*ROUND(0.7,7))))+AE28),2)</f>
        <v>402.64</v>
      </c>
      <c r="AE28" s="2">
        <f aca="true" t="shared" si="33" ref="AE28:AF31">ROUND(((EU28*ROUND(0.7,7))),2)</f>
        <v>23.07</v>
      </c>
      <c r="AF28" s="2">
        <f t="shared" si="33"/>
        <v>2098.52</v>
      </c>
      <c r="AG28" s="2">
        <f aca="true" t="shared" si="34" ref="AG28:AG61">ROUND((AP28),2)</f>
        <v>0</v>
      </c>
      <c r="AH28" s="2">
        <f aca="true" t="shared" si="35" ref="AH28:AI31">((EW28*ROUND(0.7,7)))</f>
        <v>208.6</v>
      </c>
      <c r="AI28" s="2">
        <f t="shared" si="35"/>
        <v>1.736</v>
      </c>
      <c r="AJ28" s="2">
        <f aca="true" t="shared" si="36" ref="AJ28:AJ61">(AS28)</f>
        <v>0</v>
      </c>
      <c r="AK28" s="2">
        <v>3848.95</v>
      </c>
      <c r="AL28" s="2">
        <v>275.88</v>
      </c>
      <c r="AM28" s="2">
        <v>575.19</v>
      </c>
      <c r="AN28" s="2">
        <v>32.95</v>
      </c>
      <c r="AO28" s="2">
        <v>2997.88</v>
      </c>
      <c r="AP28" s="2">
        <v>0</v>
      </c>
      <c r="AQ28" s="2">
        <v>298</v>
      </c>
      <c r="AR28" s="2">
        <v>2.48</v>
      </c>
      <c r="AS28" s="2">
        <v>0</v>
      </c>
      <c r="AT28" s="2">
        <v>93</v>
      </c>
      <c r="AU28" s="2">
        <v>62</v>
      </c>
      <c r="AV28" s="2">
        <v>1</v>
      </c>
      <c r="AW28" s="2">
        <v>1</v>
      </c>
      <c r="AX28" s="2"/>
      <c r="AY28" s="2"/>
      <c r="AZ28" s="2">
        <v>1</v>
      </c>
      <c r="BA28" s="2">
        <v>1</v>
      </c>
      <c r="BB28" s="2">
        <v>1</v>
      </c>
      <c r="BC28" s="2">
        <v>1</v>
      </c>
      <c r="BD28" s="2" t="s">
        <v>3</v>
      </c>
      <c r="BE28" s="2" t="s">
        <v>3</v>
      </c>
      <c r="BF28" s="2" t="s">
        <v>3</v>
      </c>
      <c r="BG28" s="2" t="s">
        <v>3</v>
      </c>
      <c r="BH28" s="2">
        <v>0</v>
      </c>
      <c r="BI28" s="2">
        <v>1</v>
      </c>
      <c r="BJ28" s="2" t="s">
        <v>27</v>
      </c>
      <c r="BK28" s="2"/>
      <c r="BL28" s="2"/>
      <c r="BM28" s="2">
        <v>9001</v>
      </c>
      <c r="BN28" s="2">
        <v>0</v>
      </c>
      <c r="BO28" s="2" t="s">
        <v>3</v>
      </c>
      <c r="BP28" s="2">
        <v>0</v>
      </c>
      <c r="BQ28" s="2">
        <v>2</v>
      </c>
      <c r="BR28" s="2">
        <v>0</v>
      </c>
      <c r="BS28" s="2">
        <v>1</v>
      </c>
      <c r="BT28" s="2">
        <v>1</v>
      </c>
      <c r="BU28" s="2">
        <v>1</v>
      </c>
      <c r="BV28" s="2">
        <v>1</v>
      </c>
      <c r="BW28" s="2">
        <v>1</v>
      </c>
      <c r="BX28" s="2">
        <v>1</v>
      </c>
      <c r="BY28" s="2" t="s">
        <v>3</v>
      </c>
      <c r="BZ28" s="2">
        <v>93</v>
      </c>
      <c r="CA28" s="2">
        <v>62</v>
      </c>
      <c r="CB28" s="2" t="s">
        <v>3</v>
      </c>
      <c r="CC28" s="2"/>
      <c r="CD28" s="2"/>
      <c r="CE28" s="2">
        <v>0</v>
      </c>
      <c r="CF28" s="2">
        <v>0</v>
      </c>
      <c r="CG28" s="2">
        <v>0</v>
      </c>
      <c r="CH28" s="2"/>
      <c r="CI28" s="2"/>
      <c r="CJ28" s="2"/>
      <c r="CK28" s="2"/>
      <c r="CL28" s="2"/>
      <c r="CM28" s="2">
        <v>0</v>
      </c>
      <c r="CN28" s="2" t="s">
        <v>28</v>
      </c>
      <c r="CO28" s="2">
        <v>0</v>
      </c>
      <c r="CP28" s="2">
        <f aca="true" t="shared" si="37" ref="CP28:CP61">(P28+Q28+S28)</f>
        <v>800.37</v>
      </c>
      <c r="CQ28" s="2">
        <f aca="true" t="shared" si="38" ref="CQ28:CQ61">AC28*BC28</f>
        <v>0</v>
      </c>
      <c r="CR28" s="2">
        <f>((((ET28*ROUND(0.7,7)))*BB28-((EU28*ROUND(0.7,7)))*BS28)+AE28*BS28)</f>
        <v>402.63800000000003</v>
      </c>
      <c r="CS28" s="2">
        <f aca="true" t="shared" si="39" ref="CS28:CS61">AE28*BS28</f>
        <v>23.07</v>
      </c>
      <c r="CT28" s="2">
        <f aca="true" t="shared" si="40" ref="CT28:CT61">AF28*BA28</f>
        <v>2098.52</v>
      </c>
      <c r="CU28" s="2">
        <f aca="true" t="shared" si="41" ref="CU28:CU61">AG28</f>
        <v>0</v>
      </c>
      <c r="CV28" s="2">
        <f aca="true" t="shared" si="42" ref="CV28:CV61">AH28</f>
        <v>208.6</v>
      </c>
      <c r="CW28" s="2">
        <f aca="true" t="shared" si="43" ref="CW28:CW61">AI28</f>
        <v>1.736</v>
      </c>
      <c r="CX28" s="2">
        <f aca="true" t="shared" si="44" ref="CX28:CX61">AJ28</f>
        <v>0</v>
      </c>
      <c r="CY28" s="2">
        <f aca="true" t="shared" si="45" ref="CY28:CY61">(((S28+R28)*AT28)/100)</f>
        <v>631.3863</v>
      </c>
      <c r="CZ28" s="2">
        <f aca="true" t="shared" si="46" ref="CZ28:CZ61">(((S28+R28)*AU28)/100)</f>
        <v>420.9242</v>
      </c>
      <c r="DA28" s="2"/>
      <c r="DB28" s="2"/>
      <c r="DC28" s="2" t="s">
        <v>3</v>
      </c>
      <c r="DD28" s="2" t="s">
        <v>29</v>
      </c>
      <c r="DE28" s="2" t="s">
        <v>30</v>
      </c>
      <c r="DF28" s="2" t="s">
        <v>30</v>
      </c>
      <c r="DG28" s="2" t="s">
        <v>30</v>
      </c>
      <c r="DH28" s="2" t="s">
        <v>3</v>
      </c>
      <c r="DI28" s="2" t="s">
        <v>30</v>
      </c>
      <c r="DJ28" s="2" t="s">
        <v>30</v>
      </c>
      <c r="DK28" s="2" t="s">
        <v>3</v>
      </c>
      <c r="DL28" s="2" t="s">
        <v>3</v>
      </c>
      <c r="DM28" s="2" t="s">
        <v>3</v>
      </c>
      <c r="DN28" s="2">
        <v>0</v>
      </c>
      <c r="DO28" s="2">
        <v>0</v>
      </c>
      <c r="DP28" s="2">
        <v>1</v>
      </c>
      <c r="DQ28" s="2">
        <v>1</v>
      </c>
      <c r="DR28" s="2"/>
      <c r="DS28" s="2"/>
      <c r="DT28" s="2"/>
      <c r="DU28" s="2">
        <v>1005</v>
      </c>
      <c r="DV28" s="2" t="s">
        <v>26</v>
      </c>
      <c r="DW28" s="2" t="s">
        <v>26</v>
      </c>
      <c r="DX28" s="2">
        <v>100</v>
      </c>
      <c r="DY28" s="2"/>
      <c r="DZ28" s="2" t="s">
        <v>3</v>
      </c>
      <c r="EA28" s="2" t="s">
        <v>3</v>
      </c>
      <c r="EB28" s="2" t="s">
        <v>3</v>
      </c>
      <c r="EC28" s="2" t="s">
        <v>3</v>
      </c>
      <c r="ED28" s="2"/>
      <c r="EE28" s="2">
        <v>55471659</v>
      </c>
      <c r="EF28" s="2">
        <v>2</v>
      </c>
      <c r="EG28" s="2" t="s">
        <v>31</v>
      </c>
      <c r="EH28" s="2">
        <v>9</v>
      </c>
      <c r="EI28" s="2" t="s">
        <v>32</v>
      </c>
      <c r="EJ28" s="2">
        <v>1</v>
      </c>
      <c r="EK28" s="2">
        <v>9001</v>
      </c>
      <c r="EL28" s="2" t="s">
        <v>32</v>
      </c>
      <c r="EM28" s="2" t="s">
        <v>33</v>
      </c>
      <c r="EN28" s="2"/>
      <c r="EO28" s="2" t="s">
        <v>34</v>
      </c>
      <c r="EP28" s="2"/>
      <c r="EQ28" s="2">
        <v>0</v>
      </c>
      <c r="ER28" s="2">
        <v>3848.95</v>
      </c>
      <c r="ES28" s="2">
        <v>275.88</v>
      </c>
      <c r="ET28" s="2">
        <v>575.19</v>
      </c>
      <c r="EU28" s="2">
        <v>32.95</v>
      </c>
      <c r="EV28" s="2">
        <v>2997.88</v>
      </c>
      <c r="EW28" s="2">
        <v>298</v>
      </c>
      <c r="EX28" s="2">
        <v>2.48</v>
      </c>
      <c r="EY28" s="2">
        <v>0</v>
      </c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>
        <v>0</v>
      </c>
      <c r="FR28" s="2">
        <f aca="true" t="shared" si="47" ref="FR28:FR61">ROUND(IF(AND(BH28=3,BI28=3),P28,0),2)</f>
        <v>0</v>
      </c>
      <c r="FS28" s="2">
        <v>0</v>
      </c>
      <c r="FT28" s="2"/>
      <c r="FU28" s="2"/>
      <c r="FV28" s="2"/>
      <c r="FW28" s="2"/>
      <c r="FX28" s="2">
        <v>93</v>
      </c>
      <c r="FY28" s="2">
        <v>62</v>
      </c>
      <c r="FZ28" s="2"/>
      <c r="GA28" s="2" t="s">
        <v>3</v>
      </c>
      <c r="GB28" s="2"/>
      <c r="GC28" s="2"/>
      <c r="GD28" s="2">
        <v>1</v>
      </c>
      <c r="GE28" s="2"/>
      <c r="GF28" s="2">
        <v>-1752699679</v>
      </c>
      <c r="GG28" s="2">
        <v>2</v>
      </c>
      <c r="GH28" s="2">
        <v>1</v>
      </c>
      <c r="GI28" s="2">
        <v>-2</v>
      </c>
      <c r="GJ28" s="2">
        <v>0</v>
      </c>
      <c r="GK28" s="2">
        <v>0</v>
      </c>
      <c r="GL28" s="2">
        <f aca="true" t="shared" si="48" ref="GL28:GL61">ROUND(IF(AND(BH28=3,BI28=3,FS28&lt;&gt;0),P28,0),2)</f>
        <v>0</v>
      </c>
      <c r="GM28" s="2">
        <f aca="true" t="shared" si="49" ref="GM28:GM61">ROUND(O28+X28+Y28,2)+GX28</f>
        <v>1852.68</v>
      </c>
      <c r="GN28" s="2">
        <f aca="true" t="shared" si="50" ref="GN28:GN61">IF(OR(BI28=0,BI28=1),ROUND(O28+X28+Y28,2),0)</f>
        <v>1852.68</v>
      </c>
      <c r="GO28" s="2">
        <f aca="true" t="shared" si="51" ref="GO28:GO61">IF(BI28=2,ROUND(O28+X28+Y28,2),0)</f>
        <v>0</v>
      </c>
      <c r="GP28" s="2">
        <f aca="true" t="shared" si="52" ref="GP28:GP61">IF(BI28=4,ROUND(O28+X28+Y28,2)+GX28,0)</f>
        <v>0</v>
      </c>
      <c r="GQ28" s="2"/>
      <c r="GR28" s="2">
        <v>0</v>
      </c>
      <c r="GS28" s="2">
        <v>3</v>
      </c>
      <c r="GT28" s="2">
        <v>0</v>
      </c>
      <c r="GU28" s="2" t="s">
        <v>3</v>
      </c>
      <c r="GV28" s="2">
        <f aca="true" t="shared" si="53" ref="GV28:GV61">ROUND((GT28),2)</f>
        <v>0</v>
      </c>
      <c r="GW28" s="2">
        <v>1</v>
      </c>
      <c r="GX28" s="2">
        <f aca="true" t="shared" si="54" ref="GX28:GX61">ROUND(HC28*I28,2)</f>
        <v>0</v>
      </c>
      <c r="GY28" s="2"/>
      <c r="GZ28" s="2"/>
      <c r="HA28" s="2">
        <v>0</v>
      </c>
      <c r="HB28" s="2">
        <v>0</v>
      </c>
      <c r="HC28" s="2">
        <f aca="true" t="shared" si="55" ref="HC28:HC61">GV28*GW28</f>
        <v>0</v>
      </c>
      <c r="HD28" s="2"/>
      <c r="HE28" s="2" t="s">
        <v>3</v>
      </c>
      <c r="HF28" s="2" t="s">
        <v>3</v>
      </c>
      <c r="HG28" s="2"/>
      <c r="HH28" s="2"/>
      <c r="HI28" s="2"/>
      <c r="HJ28" s="2"/>
      <c r="HK28" s="2"/>
      <c r="HL28" s="2"/>
      <c r="HM28" s="2" t="s">
        <v>3</v>
      </c>
      <c r="HN28" s="2" t="s">
        <v>35</v>
      </c>
      <c r="HO28" s="2" t="s">
        <v>36</v>
      </c>
      <c r="HP28" s="2" t="s">
        <v>32</v>
      </c>
      <c r="HQ28" s="2" t="s">
        <v>32</v>
      </c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>
        <v>0</v>
      </c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45" ht="12.75">
      <c r="A29">
        <v>17</v>
      </c>
      <c r="B29">
        <v>1</v>
      </c>
      <c r="C29">
        <f>ROW(SmtRes!A18)</f>
        <v>18</v>
      </c>
      <c r="D29">
        <f>ROW(EtalonRes!A26)</f>
        <v>26</v>
      </c>
      <c r="E29" t="s">
        <v>23</v>
      </c>
      <c r="F29" t="s">
        <v>24</v>
      </c>
      <c r="G29" t="s">
        <v>25</v>
      </c>
      <c r="H29" t="s">
        <v>26</v>
      </c>
      <c r="I29">
        <f>ROUND(32/100,7)</f>
        <v>0.32</v>
      </c>
      <c r="J29">
        <v>0</v>
      </c>
      <c r="K29">
        <f>ROUND(32/100,7)</f>
        <v>0.32</v>
      </c>
      <c r="O29">
        <f t="shared" si="21"/>
        <v>26780.74</v>
      </c>
      <c r="P29">
        <f t="shared" si="22"/>
        <v>0</v>
      </c>
      <c r="Q29">
        <f t="shared" si="23"/>
        <v>1705.94</v>
      </c>
      <c r="R29">
        <f t="shared" si="24"/>
        <v>275.66</v>
      </c>
      <c r="S29">
        <f t="shared" si="25"/>
        <v>25074.8</v>
      </c>
      <c r="T29">
        <f t="shared" si="26"/>
        <v>0</v>
      </c>
      <c r="U29">
        <f t="shared" si="27"/>
        <v>66.752</v>
      </c>
      <c r="V29">
        <f t="shared" si="28"/>
        <v>0.55552</v>
      </c>
      <c r="W29">
        <f t="shared" si="29"/>
        <v>0</v>
      </c>
      <c r="X29">
        <f t="shared" si="30"/>
        <v>23575.93</v>
      </c>
      <c r="Y29">
        <f t="shared" si="31"/>
        <v>15717.29</v>
      </c>
      <c r="AA29">
        <v>55668704</v>
      </c>
      <c r="AB29">
        <f t="shared" si="32"/>
        <v>2501.16</v>
      </c>
      <c r="AC29">
        <f>ROUND(((ES29*ROUND(0,7))),2)</f>
        <v>0</v>
      </c>
      <c r="AD29">
        <f>ROUND(((((ET29*ROUND(0.7,7)))-((EU29*ROUND(0.7,7))))+AE29),2)</f>
        <v>402.64</v>
      </c>
      <c r="AE29">
        <f t="shared" si="33"/>
        <v>23.07</v>
      </c>
      <c r="AF29">
        <f t="shared" si="33"/>
        <v>2098.52</v>
      </c>
      <c r="AG29">
        <f t="shared" si="34"/>
        <v>0</v>
      </c>
      <c r="AH29">
        <f t="shared" si="35"/>
        <v>208.6</v>
      </c>
      <c r="AI29">
        <f t="shared" si="35"/>
        <v>1.736</v>
      </c>
      <c r="AJ29">
        <f t="shared" si="36"/>
        <v>0</v>
      </c>
      <c r="AK29">
        <v>3848.95</v>
      </c>
      <c r="AL29">
        <v>275.88</v>
      </c>
      <c r="AM29">
        <v>575.19</v>
      </c>
      <c r="AN29">
        <v>32.95</v>
      </c>
      <c r="AO29">
        <v>2997.88</v>
      </c>
      <c r="AP29">
        <v>0</v>
      </c>
      <c r="AQ29">
        <v>298</v>
      </c>
      <c r="AR29">
        <v>2.48</v>
      </c>
      <c r="AS29">
        <v>0</v>
      </c>
      <c r="AT29">
        <v>93</v>
      </c>
      <c r="AU29">
        <v>62</v>
      </c>
      <c r="AV29">
        <v>1</v>
      </c>
      <c r="AW29">
        <v>1</v>
      </c>
      <c r="AZ29">
        <v>1</v>
      </c>
      <c r="BA29">
        <v>37.34</v>
      </c>
      <c r="BB29">
        <v>13.24</v>
      </c>
      <c r="BC29">
        <v>6.72</v>
      </c>
      <c r="BH29">
        <v>0</v>
      </c>
      <c r="BI29">
        <v>1</v>
      </c>
      <c r="BJ29" t="s">
        <v>27</v>
      </c>
      <c r="BM29">
        <v>9001</v>
      </c>
      <c r="BN29">
        <v>0</v>
      </c>
      <c r="BO29" t="s">
        <v>37</v>
      </c>
      <c r="BP29">
        <v>1</v>
      </c>
      <c r="BQ29">
        <v>2</v>
      </c>
      <c r="BR29">
        <v>0</v>
      </c>
      <c r="BS29">
        <v>37.34</v>
      </c>
      <c r="BT29">
        <v>1</v>
      </c>
      <c r="BU29">
        <v>1</v>
      </c>
      <c r="BV29">
        <v>1</v>
      </c>
      <c r="BW29">
        <v>1</v>
      </c>
      <c r="BX29">
        <v>1</v>
      </c>
      <c r="BZ29">
        <v>93</v>
      </c>
      <c r="CA29">
        <v>62</v>
      </c>
      <c r="CE29">
        <v>0</v>
      </c>
      <c r="CF29">
        <v>0</v>
      </c>
      <c r="CG29">
        <v>0</v>
      </c>
      <c r="CM29">
        <v>0</v>
      </c>
      <c r="CN29" t="s">
        <v>28</v>
      </c>
      <c r="CO29">
        <v>0</v>
      </c>
      <c r="CP29">
        <f t="shared" si="37"/>
        <v>26780.739999999998</v>
      </c>
      <c r="CQ29">
        <f t="shared" si="38"/>
        <v>0</v>
      </c>
      <c r="CR29">
        <f>((((ET29*ROUND(0.7,7)))*BB29-((EU29*ROUND(0.7,7)))*BS29)+AE29*BS29)</f>
        <v>5331.04762</v>
      </c>
      <c r="CS29">
        <f t="shared" si="39"/>
        <v>861.4338000000001</v>
      </c>
      <c r="CT29">
        <f t="shared" si="40"/>
        <v>78358.73680000001</v>
      </c>
      <c r="CU29">
        <f t="shared" si="41"/>
        <v>0</v>
      </c>
      <c r="CV29">
        <f t="shared" si="42"/>
        <v>208.6</v>
      </c>
      <c r="CW29">
        <f t="shared" si="43"/>
        <v>1.736</v>
      </c>
      <c r="CX29">
        <f t="shared" si="44"/>
        <v>0</v>
      </c>
      <c r="CY29">
        <f t="shared" si="45"/>
        <v>23575.927799999998</v>
      </c>
      <c r="CZ29">
        <f t="shared" si="46"/>
        <v>15717.2852</v>
      </c>
      <c r="DD29" t="s">
        <v>29</v>
      </c>
      <c r="DE29" t="s">
        <v>30</v>
      </c>
      <c r="DF29" t="s">
        <v>30</v>
      </c>
      <c r="DG29" t="s">
        <v>30</v>
      </c>
      <c r="DI29" t="s">
        <v>30</v>
      </c>
      <c r="DJ29" t="s">
        <v>30</v>
      </c>
      <c r="DN29">
        <v>0</v>
      </c>
      <c r="DO29">
        <v>0</v>
      </c>
      <c r="DP29">
        <v>1</v>
      </c>
      <c r="DQ29">
        <v>1</v>
      </c>
      <c r="DU29">
        <v>1005</v>
      </c>
      <c r="DV29" t="s">
        <v>26</v>
      </c>
      <c r="DW29" t="s">
        <v>26</v>
      </c>
      <c r="DX29">
        <v>100</v>
      </c>
      <c r="EE29">
        <v>55471659</v>
      </c>
      <c r="EF29">
        <v>2</v>
      </c>
      <c r="EG29" t="s">
        <v>31</v>
      </c>
      <c r="EH29">
        <v>9</v>
      </c>
      <c r="EI29" t="s">
        <v>32</v>
      </c>
      <c r="EJ29">
        <v>1</v>
      </c>
      <c r="EK29">
        <v>9001</v>
      </c>
      <c r="EL29" t="s">
        <v>32</v>
      </c>
      <c r="EM29" t="s">
        <v>33</v>
      </c>
      <c r="EO29" t="s">
        <v>34</v>
      </c>
      <c r="EQ29">
        <v>0</v>
      </c>
      <c r="ER29">
        <v>3848.95</v>
      </c>
      <c r="ES29">
        <v>275.88</v>
      </c>
      <c r="ET29">
        <v>575.19</v>
      </c>
      <c r="EU29">
        <v>32.95</v>
      </c>
      <c r="EV29">
        <v>2997.88</v>
      </c>
      <c r="EW29">
        <v>298</v>
      </c>
      <c r="EX29">
        <v>2.48</v>
      </c>
      <c r="EY29">
        <v>0</v>
      </c>
      <c r="FQ29">
        <v>0</v>
      </c>
      <c r="FR29">
        <f t="shared" si="47"/>
        <v>0</v>
      </c>
      <c r="FS29">
        <v>0</v>
      </c>
      <c r="FX29">
        <v>93</v>
      </c>
      <c r="FY29">
        <v>62</v>
      </c>
      <c r="GD29">
        <v>1</v>
      </c>
      <c r="GF29">
        <v>-1752699679</v>
      </c>
      <c r="GG29">
        <v>2</v>
      </c>
      <c r="GH29">
        <v>1</v>
      </c>
      <c r="GI29">
        <v>4</v>
      </c>
      <c r="GJ29">
        <v>0</v>
      </c>
      <c r="GK29">
        <v>0</v>
      </c>
      <c r="GL29">
        <f t="shared" si="48"/>
        <v>0</v>
      </c>
      <c r="GM29">
        <f t="shared" si="49"/>
        <v>66073.96</v>
      </c>
      <c r="GN29">
        <f t="shared" si="50"/>
        <v>66073.96</v>
      </c>
      <c r="GO29">
        <f t="shared" si="51"/>
        <v>0</v>
      </c>
      <c r="GP29">
        <f t="shared" si="52"/>
        <v>0</v>
      </c>
      <c r="GR29">
        <v>0</v>
      </c>
      <c r="GS29">
        <v>3</v>
      </c>
      <c r="GT29">
        <v>0</v>
      </c>
      <c r="GV29">
        <f t="shared" si="53"/>
        <v>0</v>
      </c>
      <c r="GW29">
        <v>1</v>
      </c>
      <c r="GX29">
        <f t="shared" si="54"/>
        <v>0</v>
      </c>
      <c r="HA29">
        <v>0</v>
      </c>
      <c r="HB29">
        <v>0</v>
      </c>
      <c r="HC29">
        <f t="shared" si="55"/>
        <v>0</v>
      </c>
      <c r="HN29" t="s">
        <v>35</v>
      </c>
      <c r="HO29" t="s">
        <v>36</v>
      </c>
      <c r="HP29" t="s">
        <v>32</v>
      </c>
      <c r="HQ29" t="s">
        <v>32</v>
      </c>
      <c r="IK29">
        <v>0</v>
      </c>
    </row>
    <row r="30" spans="1:255" ht="12.75">
      <c r="A30" s="2">
        <v>17</v>
      </c>
      <c r="B30" s="2">
        <v>1</v>
      </c>
      <c r="C30" s="2">
        <f>ROW(SmtRes!A24)</f>
        <v>24</v>
      </c>
      <c r="D30" s="2">
        <f>ROW(EtalonRes!A32)</f>
        <v>32</v>
      </c>
      <c r="E30" s="2" t="s">
        <v>38</v>
      </c>
      <c r="F30" s="2" t="s">
        <v>39</v>
      </c>
      <c r="G30" s="2" t="s">
        <v>40</v>
      </c>
      <c r="H30" s="2" t="s">
        <v>41</v>
      </c>
      <c r="I30" s="2">
        <v>0.01</v>
      </c>
      <c r="J30" s="2">
        <v>0</v>
      </c>
      <c r="K30" s="2">
        <v>0.01</v>
      </c>
      <c r="L30" s="2"/>
      <c r="M30" s="2"/>
      <c r="N30" s="2"/>
      <c r="O30" s="2">
        <f t="shared" si="21"/>
        <v>18.28</v>
      </c>
      <c r="P30" s="2">
        <f t="shared" si="22"/>
        <v>0</v>
      </c>
      <c r="Q30" s="2">
        <f t="shared" si="23"/>
        <v>0.36</v>
      </c>
      <c r="R30" s="2">
        <f t="shared" si="24"/>
        <v>0.05</v>
      </c>
      <c r="S30" s="2">
        <f t="shared" si="25"/>
        <v>17.92</v>
      </c>
      <c r="T30" s="2">
        <f t="shared" si="26"/>
        <v>0</v>
      </c>
      <c r="U30" s="2">
        <f t="shared" si="27"/>
        <v>2.0229999999999997</v>
      </c>
      <c r="V30" s="2">
        <f t="shared" si="28"/>
        <v>0.00413</v>
      </c>
      <c r="W30" s="2">
        <f t="shared" si="29"/>
        <v>0</v>
      </c>
      <c r="X30" s="2">
        <f t="shared" si="30"/>
        <v>18.33</v>
      </c>
      <c r="Y30" s="2">
        <f t="shared" si="31"/>
        <v>10.42</v>
      </c>
      <c r="Z30" s="2"/>
      <c r="AA30" s="2">
        <v>55668703</v>
      </c>
      <c r="AB30" s="2">
        <f t="shared" si="32"/>
        <v>1828.21</v>
      </c>
      <c r="AC30" s="2">
        <f>ROUND(((ES30*ROUND(0,7))),2)</f>
        <v>0</v>
      </c>
      <c r="AD30" s="2">
        <f>ROUND(((((ET30*ROUND(0.7,7)))-((EU30*ROUND(0.7,7))))+AE30),2)</f>
        <v>35.83</v>
      </c>
      <c r="AE30" s="2">
        <f t="shared" si="33"/>
        <v>5.12</v>
      </c>
      <c r="AF30" s="2">
        <f t="shared" si="33"/>
        <v>1792.38</v>
      </c>
      <c r="AG30" s="2">
        <f t="shared" si="34"/>
        <v>0</v>
      </c>
      <c r="AH30" s="2">
        <f t="shared" si="35"/>
        <v>202.29999999999998</v>
      </c>
      <c r="AI30" s="2">
        <f t="shared" si="35"/>
        <v>0.413</v>
      </c>
      <c r="AJ30" s="2">
        <f t="shared" si="36"/>
        <v>0</v>
      </c>
      <c r="AK30" s="2">
        <v>12715.19</v>
      </c>
      <c r="AL30" s="2">
        <v>10103.46</v>
      </c>
      <c r="AM30" s="2">
        <v>51.19</v>
      </c>
      <c r="AN30" s="2">
        <v>7.32</v>
      </c>
      <c r="AO30" s="2">
        <v>2560.54</v>
      </c>
      <c r="AP30" s="2">
        <v>0</v>
      </c>
      <c r="AQ30" s="2">
        <v>289</v>
      </c>
      <c r="AR30" s="2">
        <v>0.59</v>
      </c>
      <c r="AS30" s="2">
        <v>0</v>
      </c>
      <c r="AT30" s="2">
        <v>102</v>
      </c>
      <c r="AU30" s="2">
        <v>58</v>
      </c>
      <c r="AV30" s="2">
        <v>1</v>
      </c>
      <c r="AW30" s="2">
        <v>1</v>
      </c>
      <c r="AX30" s="2"/>
      <c r="AY30" s="2"/>
      <c r="AZ30" s="2">
        <v>1</v>
      </c>
      <c r="BA30" s="2">
        <v>1</v>
      </c>
      <c r="BB30" s="2">
        <v>1</v>
      </c>
      <c r="BC30" s="2">
        <v>1</v>
      </c>
      <c r="BD30" s="2" t="s">
        <v>3</v>
      </c>
      <c r="BE30" s="2" t="s">
        <v>3</v>
      </c>
      <c r="BF30" s="2" t="s">
        <v>3</v>
      </c>
      <c r="BG30" s="2" t="s">
        <v>3</v>
      </c>
      <c r="BH30" s="2">
        <v>0</v>
      </c>
      <c r="BI30" s="2">
        <v>1</v>
      </c>
      <c r="BJ30" s="2" t="s">
        <v>42</v>
      </c>
      <c r="BK30" s="2"/>
      <c r="BL30" s="2"/>
      <c r="BM30" s="2">
        <v>6001</v>
      </c>
      <c r="BN30" s="2">
        <v>0</v>
      </c>
      <c r="BO30" s="2" t="s">
        <v>3</v>
      </c>
      <c r="BP30" s="2">
        <v>0</v>
      </c>
      <c r="BQ30" s="2">
        <v>2</v>
      </c>
      <c r="BR30" s="2">
        <v>0</v>
      </c>
      <c r="BS30" s="2">
        <v>1</v>
      </c>
      <c r="BT30" s="2">
        <v>1</v>
      </c>
      <c r="BU30" s="2">
        <v>1</v>
      </c>
      <c r="BV30" s="2">
        <v>1</v>
      </c>
      <c r="BW30" s="2">
        <v>1</v>
      </c>
      <c r="BX30" s="2">
        <v>1</v>
      </c>
      <c r="BY30" s="2" t="s">
        <v>3</v>
      </c>
      <c r="BZ30" s="2">
        <v>102</v>
      </c>
      <c r="CA30" s="2">
        <v>58</v>
      </c>
      <c r="CB30" s="2" t="s">
        <v>3</v>
      </c>
      <c r="CC30" s="2"/>
      <c r="CD30" s="2"/>
      <c r="CE30" s="2">
        <v>0</v>
      </c>
      <c r="CF30" s="2">
        <v>0</v>
      </c>
      <c r="CG30" s="2">
        <v>0</v>
      </c>
      <c r="CH30" s="2"/>
      <c r="CI30" s="2"/>
      <c r="CJ30" s="2"/>
      <c r="CK30" s="2"/>
      <c r="CL30" s="2"/>
      <c r="CM30" s="2">
        <v>0</v>
      </c>
      <c r="CN30" s="2" t="s">
        <v>28</v>
      </c>
      <c r="CO30" s="2">
        <v>0</v>
      </c>
      <c r="CP30" s="2">
        <f t="shared" si="37"/>
        <v>18.28</v>
      </c>
      <c r="CQ30" s="2">
        <f t="shared" si="38"/>
        <v>0</v>
      </c>
      <c r="CR30" s="2">
        <f>((((ET30*ROUND(0.7,7)))*BB30-((EU30*ROUND(0.7,7)))*BS30)+AE30*BS30)</f>
        <v>35.829</v>
      </c>
      <c r="CS30" s="2">
        <f t="shared" si="39"/>
        <v>5.12</v>
      </c>
      <c r="CT30" s="2">
        <f t="shared" si="40"/>
        <v>1792.38</v>
      </c>
      <c r="CU30" s="2">
        <f t="shared" si="41"/>
        <v>0</v>
      </c>
      <c r="CV30" s="2">
        <f t="shared" si="42"/>
        <v>202.29999999999998</v>
      </c>
      <c r="CW30" s="2">
        <f t="shared" si="43"/>
        <v>0.413</v>
      </c>
      <c r="CX30" s="2">
        <f t="shared" si="44"/>
        <v>0</v>
      </c>
      <c r="CY30" s="2">
        <f t="shared" si="45"/>
        <v>18.329400000000003</v>
      </c>
      <c r="CZ30" s="2">
        <f t="shared" si="46"/>
        <v>10.422600000000003</v>
      </c>
      <c r="DA30" s="2"/>
      <c r="DB30" s="2"/>
      <c r="DC30" s="2" t="s">
        <v>3</v>
      </c>
      <c r="DD30" s="2" t="s">
        <v>29</v>
      </c>
      <c r="DE30" s="2" t="s">
        <v>30</v>
      </c>
      <c r="DF30" s="2" t="s">
        <v>30</v>
      </c>
      <c r="DG30" s="2" t="s">
        <v>30</v>
      </c>
      <c r="DH30" s="2" t="s">
        <v>3</v>
      </c>
      <c r="DI30" s="2" t="s">
        <v>30</v>
      </c>
      <c r="DJ30" s="2" t="s">
        <v>30</v>
      </c>
      <c r="DK30" s="2" t="s">
        <v>3</v>
      </c>
      <c r="DL30" s="2" t="s">
        <v>3</v>
      </c>
      <c r="DM30" s="2" t="s">
        <v>3</v>
      </c>
      <c r="DN30" s="2">
        <v>0</v>
      </c>
      <c r="DO30" s="2">
        <v>0</v>
      </c>
      <c r="DP30" s="2">
        <v>1</v>
      </c>
      <c r="DQ30" s="2">
        <v>1</v>
      </c>
      <c r="DR30" s="2"/>
      <c r="DS30" s="2"/>
      <c r="DT30" s="2"/>
      <c r="DU30" s="2">
        <v>1009</v>
      </c>
      <c r="DV30" s="2" t="s">
        <v>41</v>
      </c>
      <c r="DW30" s="2" t="s">
        <v>41</v>
      </c>
      <c r="DX30" s="2">
        <v>1000</v>
      </c>
      <c r="DY30" s="2"/>
      <c r="DZ30" s="2" t="s">
        <v>3</v>
      </c>
      <c r="EA30" s="2" t="s">
        <v>3</v>
      </c>
      <c r="EB30" s="2" t="s">
        <v>3</v>
      </c>
      <c r="EC30" s="2" t="s">
        <v>3</v>
      </c>
      <c r="ED30" s="2"/>
      <c r="EE30" s="2">
        <v>55471642</v>
      </c>
      <c r="EF30" s="2">
        <v>2</v>
      </c>
      <c r="EG30" s="2" t="s">
        <v>31</v>
      </c>
      <c r="EH30" s="2">
        <v>6</v>
      </c>
      <c r="EI30" s="2" t="s">
        <v>43</v>
      </c>
      <c r="EJ30" s="2">
        <v>1</v>
      </c>
      <c r="EK30" s="2">
        <v>6001</v>
      </c>
      <c r="EL30" s="2" t="s">
        <v>43</v>
      </c>
      <c r="EM30" s="2" t="s">
        <v>44</v>
      </c>
      <c r="EN30" s="2"/>
      <c r="EO30" s="2" t="s">
        <v>34</v>
      </c>
      <c r="EP30" s="2"/>
      <c r="EQ30" s="2">
        <v>0</v>
      </c>
      <c r="ER30" s="2">
        <v>12715.19</v>
      </c>
      <c r="ES30" s="2">
        <v>10103.46</v>
      </c>
      <c r="ET30" s="2">
        <v>51.19</v>
      </c>
      <c r="EU30" s="2">
        <v>7.32</v>
      </c>
      <c r="EV30" s="2">
        <v>2560.54</v>
      </c>
      <c r="EW30" s="2">
        <v>289</v>
      </c>
      <c r="EX30" s="2">
        <v>0.59</v>
      </c>
      <c r="EY30" s="2">
        <v>0</v>
      </c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>
        <v>0</v>
      </c>
      <c r="FR30" s="2">
        <f t="shared" si="47"/>
        <v>0</v>
      </c>
      <c r="FS30" s="2">
        <v>0</v>
      </c>
      <c r="FT30" s="2"/>
      <c r="FU30" s="2"/>
      <c r="FV30" s="2"/>
      <c r="FW30" s="2"/>
      <c r="FX30" s="2">
        <v>102</v>
      </c>
      <c r="FY30" s="2">
        <v>58</v>
      </c>
      <c r="FZ30" s="2"/>
      <c r="GA30" s="2" t="s">
        <v>3</v>
      </c>
      <c r="GB30" s="2"/>
      <c r="GC30" s="2"/>
      <c r="GD30" s="2">
        <v>1</v>
      </c>
      <c r="GE30" s="2"/>
      <c r="GF30" s="2">
        <v>606826011</v>
      </c>
      <c r="GG30" s="2">
        <v>2</v>
      </c>
      <c r="GH30" s="2">
        <v>1</v>
      </c>
      <c r="GI30" s="2">
        <v>-2</v>
      </c>
      <c r="GJ30" s="2">
        <v>0</v>
      </c>
      <c r="GK30" s="2">
        <v>0</v>
      </c>
      <c r="GL30" s="2">
        <f t="shared" si="48"/>
        <v>0</v>
      </c>
      <c r="GM30" s="2">
        <f t="shared" si="49"/>
        <v>47.03</v>
      </c>
      <c r="GN30" s="2">
        <f t="shared" si="50"/>
        <v>47.03</v>
      </c>
      <c r="GO30" s="2">
        <f t="shared" si="51"/>
        <v>0</v>
      </c>
      <c r="GP30" s="2">
        <f t="shared" si="52"/>
        <v>0</v>
      </c>
      <c r="GQ30" s="2"/>
      <c r="GR30" s="2">
        <v>0</v>
      </c>
      <c r="GS30" s="2">
        <v>3</v>
      </c>
      <c r="GT30" s="2">
        <v>0</v>
      </c>
      <c r="GU30" s="2" t="s">
        <v>3</v>
      </c>
      <c r="GV30" s="2">
        <f t="shared" si="53"/>
        <v>0</v>
      </c>
      <c r="GW30" s="2">
        <v>1</v>
      </c>
      <c r="GX30" s="2">
        <f t="shared" si="54"/>
        <v>0</v>
      </c>
      <c r="GY30" s="2"/>
      <c r="GZ30" s="2"/>
      <c r="HA30" s="2">
        <v>0</v>
      </c>
      <c r="HB30" s="2">
        <v>0</v>
      </c>
      <c r="HC30" s="2">
        <f t="shared" si="55"/>
        <v>0</v>
      </c>
      <c r="HD30" s="2"/>
      <c r="HE30" s="2" t="s">
        <v>3</v>
      </c>
      <c r="HF30" s="2" t="s">
        <v>3</v>
      </c>
      <c r="HG30" s="2"/>
      <c r="HH30" s="2"/>
      <c r="HI30" s="2"/>
      <c r="HJ30" s="2"/>
      <c r="HK30" s="2"/>
      <c r="HL30" s="2"/>
      <c r="HM30" s="2" t="s">
        <v>3</v>
      </c>
      <c r="HN30" s="2" t="s">
        <v>45</v>
      </c>
      <c r="HO30" s="2" t="s">
        <v>46</v>
      </c>
      <c r="HP30" s="2" t="s">
        <v>43</v>
      </c>
      <c r="HQ30" s="2" t="s">
        <v>43</v>
      </c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>
        <v>0</v>
      </c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45" ht="12.75">
      <c r="A31">
        <v>17</v>
      </c>
      <c r="B31">
        <v>1</v>
      </c>
      <c r="C31">
        <f>ROW(SmtRes!A30)</f>
        <v>30</v>
      </c>
      <c r="D31">
        <f>ROW(EtalonRes!A38)</f>
        <v>38</v>
      </c>
      <c r="E31" t="s">
        <v>38</v>
      </c>
      <c r="F31" t="s">
        <v>39</v>
      </c>
      <c r="G31" t="s">
        <v>40</v>
      </c>
      <c r="H31" t="s">
        <v>41</v>
      </c>
      <c r="I31">
        <v>0.01</v>
      </c>
      <c r="J31">
        <v>0</v>
      </c>
      <c r="K31">
        <v>0.01</v>
      </c>
      <c r="O31">
        <f t="shared" si="21"/>
        <v>674.01</v>
      </c>
      <c r="P31">
        <f t="shared" si="22"/>
        <v>0</v>
      </c>
      <c r="Q31">
        <f t="shared" si="23"/>
        <v>4.74</v>
      </c>
      <c r="R31">
        <f t="shared" si="24"/>
        <v>1.91</v>
      </c>
      <c r="S31">
        <f t="shared" si="25"/>
        <v>669.27</v>
      </c>
      <c r="T31">
        <f t="shared" si="26"/>
        <v>0</v>
      </c>
      <c r="U31">
        <f t="shared" si="27"/>
        <v>2.0229999999999997</v>
      </c>
      <c r="V31">
        <f t="shared" si="28"/>
        <v>0.00413</v>
      </c>
      <c r="W31">
        <f t="shared" si="29"/>
        <v>0</v>
      </c>
      <c r="X31">
        <f t="shared" si="30"/>
        <v>684.6</v>
      </c>
      <c r="Y31">
        <f t="shared" si="31"/>
        <v>389.28</v>
      </c>
      <c r="AA31">
        <v>55668704</v>
      </c>
      <c r="AB31">
        <f t="shared" si="32"/>
        <v>1828.21</v>
      </c>
      <c r="AC31">
        <f>ROUND(((ES31*ROUND(0,7))),2)</f>
        <v>0</v>
      </c>
      <c r="AD31">
        <f>ROUND(((((ET31*ROUND(0.7,7)))-((EU31*ROUND(0.7,7))))+AE31),2)</f>
        <v>35.83</v>
      </c>
      <c r="AE31">
        <f t="shared" si="33"/>
        <v>5.12</v>
      </c>
      <c r="AF31">
        <f t="shared" si="33"/>
        <v>1792.38</v>
      </c>
      <c r="AG31">
        <f t="shared" si="34"/>
        <v>0</v>
      </c>
      <c r="AH31">
        <f t="shared" si="35"/>
        <v>202.29999999999998</v>
      </c>
      <c r="AI31">
        <f t="shared" si="35"/>
        <v>0.413</v>
      </c>
      <c r="AJ31">
        <f t="shared" si="36"/>
        <v>0</v>
      </c>
      <c r="AK31">
        <v>12715.19</v>
      </c>
      <c r="AL31">
        <v>10103.46</v>
      </c>
      <c r="AM31">
        <v>51.19</v>
      </c>
      <c r="AN31">
        <v>7.32</v>
      </c>
      <c r="AO31">
        <v>2560.54</v>
      </c>
      <c r="AP31">
        <v>0</v>
      </c>
      <c r="AQ31">
        <v>289</v>
      </c>
      <c r="AR31">
        <v>0.59</v>
      </c>
      <c r="AS31">
        <v>0</v>
      </c>
      <c r="AT31">
        <v>102</v>
      </c>
      <c r="AU31">
        <v>58</v>
      </c>
      <c r="AV31">
        <v>1</v>
      </c>
      <c r="AW31">
        <v>1</v>
      </c>
      <c r="AZ31">
        <v>1</v>
      </c>
      <c r="BA31">
        <v>37.34</v>
      </c>
      <c r="BB31">
        <v>13.24</v>
      </c>
      <c r="BC31">
        <v>6.72</v>
      </c>
      <c r="BH31">
        <v>0</v>
      </c>
      <c r="BI31">
        <v>1</v>
      </c>
      <c r="BJ31" t="s">
        <v>42</v>
      </c>
      <c r="BM31">
        <v>6001</v>
      </c>
      <c r="BN31">
        <v>0</v>
      </c>
      <c r="BO31" t="s">
        <v>37</v>
      </c>
      <c r="BP31">
        <v>1</v>
      </c>
      <c r="BQ31">
        <v>2</v>
      </c>
      <c r="BR31">
        <v>0</v>
      </c>
      <c r="BS31">
        <v>37.34</v>
      </c>
      <c r="BT31">
        <v>1</v>
      </c>
      <c r="BU31">
        <v>1</v>
      </c>
      <c r="BV31">
        <v>1</v>
      </c>
      <c r="BW31">
        <v>1</v>
      </c>
      <c r="BX31">
        <v>1</v>
      </c>
      <c r="BZ31">
        <v>102</v>
      </c>
      <c r="CA31">
        <v>58</v>
      </c>
      <c r="CE31">
        <v>0</v>
      </c>
      <c r="CF31">
        <v>0</v>
      </c>
      <c r="CG31">
        <v>0</v>
      </c>
      <c r="CM31">
        <v>0</v>
      </c>
      <c r="CN31" t="s">
        <v>28</v>
      </c>
      <c r="CO31">
        <v>0</v>
      </c>
      <c r="CP31">
        <f t="shared" si="37"/>
        <v>674.01</v>
      </c>
      <c r="CQ31">
        <f t="shared" si="38"/>
        <v>0</v>
      </c>
      <c r="CR31">
        <f>((((ET31*ROUND(0.7,7)))*BB31-((EU31*ROUND(0.7,7)))*BS31)+AE31*BS31)</f>
        <v>474.27956</v>
      </c>
      <c r="CS31">
        <f t="shared" si="39"/>
        <v>191.18080000000003</v>
      </c>
      <c r="CT31">
        <f t="shared" si="40"/>
        <v>66927.4692</v>
      </c>
      <c r="CU31">
        <f t="shared" si="41"/>
        <v>0</v>
      </c>
      <c r="CV31">
        <f t="shared" si="42"/>
        <v>202.29999999999998</v>
      </c>
      <c r="CW31">
        <f t="shared" si="43"/>
        <v>0.413</v>
      </c>
      <c r="CX31">
        <f t="shared" si="44"/>
        <v>0</v>
      </c>
      <c r="CY31">
        <f t="shared" si="45"/>
        <v>684.6036</v>
      </c>
      <c r="CZ31">
        <f t="shared" si="46"/>
        <v>389.28439999999995</v>
      </c>
      <c r="DD31" t="s">
        <v>29</v>
      </c>
      <c r="DE31" t="s">
        <v>30</v>
      </c>
      <c r="DF31" t="s">
        <v>30</v>
      </c>
      <c r="DG31" t="s">
        <v>30</v>
      </c>
      <c r="DI31" t="s">
        <v>30</v>
      </c>
      <c r="DJ31" t="s">
        <v>30</v>
      </c>
      <c r="DN31">
        <v>0</v>
      </c>
      <c r="DO31">
        <v>0</v>
      </c>
      <c r="DP31">
        <v>1</v>
      </c>
      <c r="DQ31">
        <v>1</v>
      </c>
      <c r="DU31">
        <v>1009</v>
      </c>
      <c r="DV31" t="s">
        <v>41</v>
      </c>
      <c r="DW31" t="s">
        <v>41</v>
      </c>
      <c r="DX31">
        <v>1000</v>
      </c>
      <c r="EE31">
        <v>55471642</v>
      </c>
      <c r="EF31">
        <v>2</v>
      </c>
      <c r="EG31" t="s">
        <v>31</v>
      </c>
      <c r="EH31">
        <v>6</v>
      </c>
      <c r="EI31" t="s">
        <v>43</v>
      </c>
      <c r="EJ31">
        <v>1</v>
      </c>
      <c r="EK31">
        <v>6001</v>
      </c>
      <c r="EL31" t="s">
        <v>43</v>
      </c>
      <c r="EM31" t="s">
        <v>44</v>
      </c>
      <c r="EO31" t="s">
        <v>34</v>
      </c>
      <c r="EQ31">
        <v>0</v>
      </c>
      <c r="ER31">
        <v>12715.19</v>
      </c>
      <c r="ES31">
        <v>10103.46</v>
      </c>
      <c r="ET31">
        <v>51.19</v>
      </c>
      <c r="EU31">
        <v>7.32</v>
      </c>
      <c r="EV31">
        <v>2560.54</v>
      </c>
      <c r="EW31">
        <v>289</v>
      </c>
      <c r="EX31">
        <v>0.59</v>
      </c>
      <c r="EY31">
        <v>0</v>
      </c>
      <c r="FQ31">
        <v>0</v>
      </c>
      <c r="FR31">
        <f t="shared" si="47"/>
        <v>0</v>
      </c>
      <c r="FS31">
        <v>0</v>
      </c>
      <c r="FX31">
        <v>102</v>
      </c>
      <c r="FY31">
        <v>58</v>
      </c>
      <c r="GD31">
        <v>1</v>
      </c>
      <c r="GF31">
        <v>606826011</v>
      </c>
      <c r="GG31">
        <v>2</v>
      </c>
      <c r="GH31">
        <v>1</v>
      </c>
      <c r="GI31">
        <v>4</v>
      </c>
      <c r="GJ31">
        <v>0</v>
      </c>
      <c r="GK31">
        <v>0</v>
      </c>
      <c r="GL31">
        <f t="shared" si="48"/>
        <v>0</v>
      </c>
      <c r="GM31">
        <f t="shared" si="49"/>
        <v>1747.89</v>
      </c>
      <c r="GN31">
        <f t="shared" si="50"/>
        <v>1747.89</v>
      </c>
      <c r="GO31">
        <f t="shared" si="51"/>
        <v>0</v>
      </c>
      <c r="GP31">
        <f t="shared" si="52"/>
        <v>0</v>
      </c>
      <c r="GR31">
        <v>0</v>
      </c>
      <c r="GS31">
        <v>3</v>
      </c>
      <c r="GT31">
        <v>0</v>
      </c>
      <c r="GV31">
        <f t="shared" si="53"/>
        <v>0</v>
      </c>
      <c r="GW31">
        <v>1</v>
      </c>
      <c r="GX31">
        <f t="shared" si="54"/>
        <v>0</v>
      </c>
      <c r="HA31">
        <v>0</v>
      </c>
      <c r="HB31">
        <v>0</v>
      </c>
      <c r="HC31">
        <f t="shared" si="55"/>
        <v>0</v>
      </c>
      <c r="HN31" t="s">
        <v>45</v>
      </c>
      <c r="HO31" t="s">
        <v>46</v>
      </c>
      <c r="HP31" t="s">
        <v>43</v>
      </c>
      <c r="HQ31" t="s">
        <v>43</v>
      </c>
      <c r="IK31">
        <v>0</v>
      </c>
    </row>
    <row r="32" spans="1:255" ht="12.75">
      <c r="A32" s="2">
        <v>18</v>
      </c>
      <c r="B32" s="2">
        <v>1</v>
      </c>
      <c r="C32" s="2">
        <v>23</v>
      </c>
      <c r="D32" s="2"/>
      <c r="E32" s="2" t="s">
        <v>47</v>
      </c>
      <c r="F32" s="2" t="s">
        <v>48</v>
      </c>
      <c r="G32" s="2" t="s">
        <v>49</v>
      </c>
      <c r="H32" s="2" t="s">
        <v>50</v>
      </c>
      <c r="I32" s="2">
        <f>I30*J32</f>
        <v>0</v>
      </c>
      <c r="J32" s="2">
        <v>0</v>
      </c>
      <c r="K32" s="2">
        <v>-0.01</v>
      </c>
      <c r="L32" s="2"/>
      <c r="M32" s="2"/>
      <c r="N32" s="2"/>
      <c r="O32" s="2">
        <f t="shared" si="21"/>
        <v>0</v>
      </c>
      <c r="P32" s="2">
        <f t="shared" si="22"/>
        <v>0</v>
      </c>
      <c r="Q32" s="2">
        <f t="shared" si="23"/>
        <v>0</v>
      </c>
      <c r="R32" s="2">
        <f t="shared" si="24"/>
        <v>0</v>
      </c>
      <c r="S32" s="2">
        <f t="shared" si="25"/>
        <v>0</v>
      </c>
      <c r="T32" s="2">
        <f t="shared" si="26"/>
        <v>0</v>
      </c>
      <c r="U32" s="2">
        <f t="shared" si="27"/>
        <v>0</v>
      </c>
      <c r="V32" s="2">
        <f t="shared" si="28"/>
        <v>0</v>
      </c>
      <c r="W32" s="2">
        <f t="shared" si="29"/>
        <v>0</v>
      </c>
      <c r="X32" s="2">
        <f t="shared" si="30"/>
        <v>0</v>
      </c>
      <c r="Y32" s="2">
        <f t="shared" si="31"/>
        <v>0</v>
      </c>
      <c r="Z32" s="2"/>
      <c r="AA32" s="2">
        <v>55668703</v>
      </c>
      <c r="AB32" s="2">
        <f t="shared" si="32"/>
        <v>346</v>
      </c>
      <c r="AC32" s="2">
        <f aca="true" t="shared" si="56" ref="AC32:AC61">ROUND((ES32),2)</f>
        <v>346</v>
      </c>
      <c r="AD32" s="2">
        <f aca="true" t="shared" si="57" ref="AD32:AD39">ROUND((((ET32)-(EU32))+AE32),2)</f>
        <v>0</v>
      </c>
      <c r="AE32" s="2">
        <f aca="true" t="shared" si="58" ref="AE32:AF39">ROUND((EU32),2)</f>
        <v>0</v>
      </c>
      <c r="AF32" s="2">
        <f t="shared" si="58"/>
        <v>0</v>
      </c>
      <c r="AG32" s="2">
        <f t="shared" si="34"/>
        <v>0</v>
      </c>
      <c r="AH32" s="2">
        <f aca="true" t="shared" si="59" ref="AH32:AI39">(EW32)</f>
        <v>0</v>
      </c>
      <c r="AI32" s="2">
        <f t="shared" si="59"/>
        <v>0</v>
      </c>
      <c r="AJ32" s="2">
        <f t="shared" si="36"/>
        <v>0</v>
      </c>
      <c r="AK32" s="2">
        <v>346</v>
      </c>
      <c r="AL32" s="2">
        <v>346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102</v>
      </c>
      <c r="AU32" s="2">
        <v>58</v>
      </c>
      <c r="AV32" s="2">
        <v>1</v>
      </c>
      <c r="AW32" s="2">
        <v>1</v>
      </c>
      <c r="AX32" s="2"/>
      <c r="AY32" s="2"/>
      <c r="AZ32" s="2">
        <v>1</v>
      </c>
      <c r="BA32" s="2">
        <v>1</v>
      </c>
      <c r="BB32" s="2">
        <v>1</v>
      </c>
      <c r="BC32" s="2">
        <v>1</v>
      </c>
      <c r="BD32" s="2" t="s">
        <v>3</v>
      </c>
      <c r="BE32" s="2" t="s">
        <v>3</v>
      </c>
      <c r="BF32" s="2" t="s">
        <v>3</v>
      </c>
      <c r="BG32" s="2" t="s">
        <v>3</v>
      </c>
      <c r="BH32" s="2">
        <v>3</v>
      </c>
      <c r="BI32" s="2">
        <v>1</v>
      </c>
      <c r="BJ32" s="2" t="s">
        <v>51</v>
      </c>
      <c r="BK32" s="2"/>
      <c r="BL32" s="2"/>
      <c r="BM32" s="2">
        <v>6001</v>
      </c>
      <c r="BN32" s="2">
        <v>0</v>
      </c>
      <c r="BO32" s="2" t="s">
        <v>3</v>
      </c>
      <c r="BP32" s="2">
        <v>0</v>
      </c>
      <c r="BQ32" s="2">
        <v>2</v>
      </c>
      <c r="BR32" s="2">
        <v>1</v>
      </c>
      <c r="BS32" s="2">
        <v>1</v>
      </c>
      <c r="BT32" s="2">
        <v>1</v>
      </c>
      <c r="BU32" s="2">
        <v>1</v>
      </c>
      <c r="BV32" s="2">
        <v>1</v>
      </c>
      <c r="BW32" s="2">
        <v>1</v>
      </c>
      <c r="BX32" s="2">
        <v>1</v>
      </c>
      <c r="BY32" s="2" t="s">
        <v>3</v>
      </c>
      <c r="BZ32" s="2">
        <v>102</v>
      </c>
      <c r="CA32" s="2">
        <v>58</v>
      </c>
      <c r="CB32" s="2" t="s">
        <v>3</v>
      </c>
      <c r="CC32" s="2"/>
      <c r="CD32" s="2"/>
      <c r="CE32" s="2">
        <v>0</v>
      </c>
      <c r="CF32" s="2">
        <v>0</v>
      </c>
      <c r="CG32" s="2">
        <v>0</v>
      </c>
      <c r="CH32" s="2"/>
      <c r="CI32" s="2"/>
      <c r="CJ32" s="2"/>
      <c r="CK32" s="2"/>
      <c r="CL32" s="2"/>
      <c r="CM32" s="2">
        <v>0</v>
      </c>
      <c r="CN32" s="2" t="s">
        <v>28</v>
      </c>
      <c r="CO32" s="2">
        <v>0</v>
      </c>
      <c r="CP32" s="2">
        <f t="shared" si="37"/>
        <v>0</v>
      </c>
      <c r="CQ32" s="2">
        <f t="shared" si="38"/>
        <v>346</v>
      </c>
      <c r="CR32" s="2">
        <f aca="true" t="shared" si="60" ref="CR32:CR39">(((ET32)*BB32-(EU32)*BS32)+AE32*BS32)</f>
        <v>0</v>
      </c>
      <c r="CS32" s="2">
        <f t="shared" si="39"/>
        <v>0</v>
      </c>
      <c r="CT32" s="2">
        <f t="shared" si="40"/>
        <v>0</v>
      </c>
      <c r="CU32" s="2">
        <f t="shared" si="41"/>
        <v>0</v>
      </c>
      <c r="CV32" s="2">
        <f t="shared" si="42"/>
        <v>0</v>
      </c>
      <c r="CW32" s="2">
        <f t="shared" si="43"/>
        <v>0</v>
      </c>
      <c r="CX32" s="2">
        <f t="shared" si="44"/>
        <v>0</v>
      </c>
      <c r="CY32" s="2">
        <f t="shared" si="45"/>
        <v>0</v>
      </c>
      <c r="CZ32" s="2">
        <f t="shared" si="46"/>
        <v>0</v>
      </c>
      <c r="DA32" s="2"/>
      <c r="DB32" s="2"/>
      <c r="DC32" s="2" t="s">
        <v>3</v>
      </c>
      <c r="DD32" s="2" t="s">
        <v>3</v>
      </c>
      <c r="DE32" s="2" t="s">
        <v>3</v>
      </c>
      <c r="DF32" s="2" t="s">
        <v>3</v>
      </c>
      <c r="DG32" s="2" t="s">
        <v>3</v>
      </c>
      <c r="DH32" s="2" t="s">
        <v>3</v>
      </c>
      <c r="DI32" s="2" t="s">
        <v>3</v>
      </c>
      <c r="DJ32" s="2" t="s">
        <v>3</v>
      </c>
      <c r="DK32" s="2" t="s">
        <v>3</v>
      </c>
      <c r="DL32" s="2" t="s">
        <v>3</v>
      </c>
      <c r="DM32" s="2" t="s">
        <v>3</v>
      </c>
      <c r="DN32" s="2">
        <v>0</v>
      </c>
      <c r="DO32" s="2">
        <v>0</v>
      </c>
      <c r="DP32" s="2">
        <v>1</v>
      </c>
      <c r="DQ32" s="2">
        <v>1</v>
      </c>
      <c r="DR32" s="2"/>
      <c r="DS32" s="2"/>
      <c r="DT32" s="2"/>
      <c r="DU32" s="2">
        <v>1013</v>
      </c>
      <c r="DV32" s="2" t="s">
        <v>50</v>
      </c>
      <c r="DW32" s="2" t="s">
        <v>50</v>
      </c>
      <c r="DX32" s="2">
        <v>1</v>
      </c>
      <c r="DY32" s="2"/>
      <c r="DZ32" s="2" t="s">
        <v>3</v>
      </c>
      <c r="EA32" s="2" t="s">
        <v>3</v>
      </c>
      <c r="EB32" s="2" t="s">
        <v>3</v>
      </c>
      <c r="EC32" s="2" t="s">
        <v>3</v>
      </c>
      <c r="ED32" s="2"/>
      <c r="EE32" s="2">
        <v>55471642</v>
      </c>
      <c r="EF32" s="2">
        <v>2</v>
      </c>
      <c r="EG32" s="2" t="s">
        <v>31</v>
      </c>
      <c r="EH32" s="2">
        <v>6</v>
      </c>
      <c r="EI32" s="2" t="s">
        <v>43</v>
      </c>
      <c r="EJ32" s="2">
        <v>1</v>
      </c>
      <c r="EK32" s="2">
        <v>6001</v>
      </c>
      <c r="EL32" s="2" t="s">
        <v>43</v>
      </c>
      <c r="EM32" s="2" t="s">
        <v>44</v>
      </c>
      <c r="EN32" s="2"/>
      <c r="EO32" s="2" t="s">
        <v>34</v>
      </c>
      <c r="EP32" s="2"/>
      <c r="EQ32" s="2">
        <v>0</v>
      </c>
      <c r="ER32" s="2">
        <v>346</v>
      </c>
      <c r="ES32" s="2">
        <v>346</v>
      </c>
      <c r="ET32" s="2">
        <v>0</v>
      </c>
      <c r="EU32" s="2">
        <v>0</v>
      </c>
      <c r="EV32" s="2">
        <v>0</v>
      </c>
      <c r="EW32" s="2">
        <v>0</v>
      </c>
      <c r="EX32" s="2">
        <v>0</v>
      </c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>
        <v>0</v>
      </c>
      <c r="FR32" s="2">
        <f t="shared" si="47"/>
        <v>0</v>
      </c>
      <c r="FS32" s="2">
        <v>0</v>
      </c>
      <c r="FT32" s="2"/>
      <c r="FU32" s="2"/>
      <c r="FV32" s="2"/>
      <c r="FW32" s="2"/>
      <c r="FX32" s="2">
        <v>102</v>
      </c>
      <c r="FY32" s="2">
        <v>58</v>
      </c>
      <c r="FZ32" s="2"/>
      <c r="GA32" s="2" t="s">
        <v>3</v>
      </c>
      <c r="GB32" s="2"/>
      <c r="GC32" s="2"/>
      <c r="GD32" s="2">
        <v>1</v>
      </c>
      <c r="GE32" s="2"/>
      <c r="GF32" s="2">
        <v>1897660979</v>
      </c>
      <c r="GG32" s="2">
        <v>2</v>
      </c>
      <c r="GH32" s="2">
        <v>1</v>
      </c>
      <c r="GI32" s="2">
        <v>-2</v>
      </c>
      <c r="GJ32" s="2">
        <v>0</v>
      </c>
      <c r="GK32" s="2">
        <v>0</v>
      </c>
      <c r="GL32" s="2">
        <f t="shared" si="48"/>
        <v>0</v>
      </c>
      <c r="GM32" s="2">
        <f t="shared" si="49"/>
        <v>0</v>
      </c>
      <c r="GN32" s="2">
        <f t="shared" si="50"/>
        <v>0</v>
      </c>
      <c r="GO32" s="2">
        <f t="shared" si="51"/>
        <v>0</v>
      </c>
      <c r="GP32" s="2">
        <f t="shared" si="52"/>
        <v>0</v>
      </c>
      <c r="GQ32" s="2"/>
      <c r="GR32" s="2">
        <v>0</v>
      </c>
      <c r="GS32" s="2">
        <v>3</v>
      </c>
      <c r="GT32" s="2">
        <v>0</v>
      </c>
      <c r="GU32" s="2" t="s">
        <v>3</v>
      </c>
      <c r="GV32" s="2">
        <f t="shared" si="53"/>
        <v>0</v>
      </c>
      <c r="GW32" s="2">
        <v>1</v>
      </c>
      <c r="GX32" s="2">
        <f t="shared" si="54"/>
        <v>0</v>
      </c>
      <c r="GY32" s="2"/>
      <c r="GZ32" s="2"/>
      <c r="HA32" s="2">
        <v>0</v>
      </c>
      <c r="HB32" s="2">
        <v>0</v>
      </c>
      <c r="HC32" s="2">
        <f t="shared" si="55"/>
        <v>0</v>
      </c>
      <c r="HD32" s="2"/>
      <c r="HE32" s="2" t="s">
        <v>3</v>
      </c>
      <c r="HF32" s="2" t="s">
        <v>3</v>
      </c>
      <c r="HG32" s="2"/>
      <c r="HH32" s="2"/>
      <c r="HI32" s="2"/>
      <c r="HJ32" s="2"/>
      <c r="HK32" s="2"/>
      <c r="HL32" s="2"/>
      <c r="HM32" s="2" t="s">
        <v>29</v>
      </c>
      <c r="HN32" s="2" t="s">
        <v>45</v>
      </c>
      <c r="HO32" s="2" t="s">
        <v>46</v>
      </c>
      <c r="HP32" s="2" t="s">
        <v>43</v>
      </c>
      <c r="HQ32" s="2" t="s">
        <v>43</v>
      </c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>
        <v>0</v>
      </c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45" ht="12.75">
      <c r="A33">
        <v>18</v>
      </c>
      <c r="B33">
        <v>1</v>
      </c>
      <c r="C33">
        <v>29</v>
      </c>
      <c r="E33" t="s">
        <v>47</v>
      </c>
      <c r="F33" t="s">
        <v>48</v>
      </c>
      <c r="G33" t="s">
        <v>49</v>
      </c>
      <c r="H33" t="s">
        <v>50</v>
      </c>
      <c r="I33">
        <f>I31*J33</f>
        <v>0</v>
      </c>
      <c r="J33">
        <v>0</v>
      </c>
      <c r="K33">
        <v>-0.01</v>
      </c>
      <c r="O33">
        <f t="shared" si="21"/>
        <v>0</v>
      </c>
      <c r="P33">
        <f t="shared" si="22"/>
        <v>0</v>
      </c>
      <c r="Q33">
        <f t="shared" si="23"/>
        <v>0</v>
      </c>
      <c r="R33">
        <f t="shared" si="24"/>
        <v>0</v>
      </c>
      <c r="S33">
        <f t="shared" si="25"/>
        <v>0</v>
      </c>
      <c r="T33">
        <f t="shared" si="26"/>
        <v>0</v>
      </c>
      <c r="U33">
        <f t="shared" si="27"/>
        <v>0</v>
      </c>
      <c r="V33">
        <f t="shared" si="28"/>
        <v>0</v>
      </c>
      <c r="W33">
        <f t="shared" si="29"/>
        <v>0</v>
      </c>
      <c r="X33">
        <f t="shared" si="30"/>
        <v>0</v>
      </c>
      <c r="Y33">
        <f t="shared" si="31"/>
        <v>0</v>
      </c>
      <c r="AA33">
        <v>55668704</v>
      </c>
      <c r="AB33">
        <f t="shared" si="32"/>
        <v>346</v>
      </c>
      <c r="AC33">
        <f t="shared" si="56"/>
        <v>346</v>
      </c>
      <c r="AD33">
        <f t="shared" si="57"/>
        <v>0</v>
      </c>
      <c r="AE33">
        <f t="shared" si="58"/>
        <v>0</v>
      </c>
      <c r="AF33">
        <f t="shared" si="58"/>
        <v>0</v>
      </c>
      <c r="AG33">
        <f t="shared" si="34"/>
        <v>0</v>
      </c>
      <c r="AH33">
        <f t="shared" si="59"/>
        <v>0</v>
      </c>
      <c r="AI33">
        <f t="shared" si="59"/>
        <v>0</v>
      </c>
      <c r="AJ33">
        <f t="shared" si="36"/>
        <v>0</v>
      </c>
      <c r="AK33">
        <v>346</v>
      </c>
      <c r="AL33">
        <v>346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102</v>
      </c>
      <c r="AU33">
        <v>58</v>
      </c>
      <c r="AV33">
        <v>1</v>
      </c>
      <c r="AW33">
        <v>1</v>
      </c>
      <c r="AZ33">
        <v>1</v>
      </c>
      <c r="BA33">
        <v>1</v>
      </c>
      <c r="BB33">
        <v>1</v>
      </c>
      <c r="BC33">
        <v>6.72</v>
      </c>
      <c r="BH33">
        <v>3</v>
      </c>
      <c r="BI33">
        <v>1</v>
      </c>
      <c r="BJ33" t="s">
        <v>51</v>
      </c>
      <c r="BM33">
        <v>6001</v>
      </c>
      <c r="BN33">
        <v>0</v>
      </c>
      <c r="BO33" t="s">
        <v>37</v>
      </c>
      <c r="BP33">
        <v>1</v>
      </c>
      <c r="BQ33">
        <v>2</v>
      </c>
      <c r="BR33">
        <v>1</v>
      </c>
      <c r="BS33">
        <v>1</v>
      </c>
      <c r="BT33">
        <v>1</v>
      </c>
      <c r="BU33">
        <v>1</v>
      </c>
      <c r="BV33">
        <v>1</v>
      </c>
      <c r="BW33">
        <v>1</v>
      </c>
      <c r="BX33">
        <v>1</v>
      </c>
      <c r="BZ33">
        <v>102</v>
      </c>
      <c r="CA33">
        <v>58</v>
      </c>
      <c r="CE33">
        <v>0</v>
      </c>
      <c r="CF33">
        <v>0</v>
      </c>
      <c r="CG33">
        <v>0</v>
      </c>
      <c r="CM33">
        <v>0</v>
      </c>
      <c r="CN33" t="s">
        <v>28</v>
      </c>
      <c r="CO33">
        <v>0</v>
      </c>
      <c r="CP33">
        <f t="shared" si="37"/>
        <v>0</v>
      </c>
      <c r="CQ33">
        <f t="shared" si="38"/>
        <v>2325.12</v>
      </c>
      <c r="CR33">
        <f t="shared" si="60"/>
        <v>0</v>
      </c>
      <c r="CS33">
        <f t="shared" si="39"/>
        <v>0</v>
      </c>
      <c r="CT33">
        <f t="shared" si="40"/>
        <v>0</v>
      </c>
      <c r="CU33">
        <f t="shared" si="41"/>
        <v>0</v>
      </c>
      <c r="CV33">
        <f t="shared" si="42"/>
        <v>0</v>
      </c>
      <c r="CW33">
        <f t="shared" si="43"/>
        <v>0</v>
      </c>
      <c r="CX33">
        <f t="shared" si="44"/>
        <v>0</v>
      </c>
      <c r="CY33">
        <f t="shared" si="45"/>
        <v>0</v>
      </c>
      <c r="CZ33">
        <f t="shared" si="46"/>
        <v>0</v>
      </c>
      <c r="DN33">
        <v>0</v>
      </c>
      <c r="DO33">
        <v>0</v>
      </c>
      <c r="DP33">
        <v>1</v>
      </c>
      <c r="DQ33">
        <v>1</v>
      </c>
      <c r="DU33">
        <v>1013</v>
      </c>
      <c r="DV33" t="s">
        <v>50</v>
      </c>
      <c r="DW33" t="s">
        <v>50</v>
      </c>
      <c r="DX33">
        <v>1</v>
      </c>
      <c r="EE33">
        <v>55471642</v>
      </c>
      <c r="EF33">
        <v>2</v>
      </c>
      <c r="EG33" t="s">
        <v>31</v>
      </c>
      <c r="EH33">
        <v>6</v>
      </c>
      <c r="EI33" t="s">
        <v>43</v>
      </c>
      <c r="EJ33">
        <v>1</v>
      </c>
      <c r="EK33">
        <v>6001</v>
      </c>
      <c r="EL33" t="s">
        <v>43</v>
      </c>
      <c r="EM33" t="s">
        <v>44</v>
      </c>
      <c r="EO33" t="s">
        <v>34</v>
      </c>
      <c r="EQ33">
        <v>0</v>
      </c>
      <c r="ER33">
        <v>346</v>
      </c>
      <c r="ES33">
        <v>346</v>
      </c>
      <c r="ET33">
        <v>0</v>
      </c>
      <c r="EU33">
        <v>0</v>
      </c>
      <c r="EV33">
        <v>0</v>
      </c>
      <c r="EW33">
        <v>0</v>
      </c>
      <c r="EX33">
        <v>0</v>
      </c>
      <c r="FQ33">
        <v>0</v>
      </c>
      <c r="FR33">
        <f t="shared" si="47"/>
        <v>0</v>
      </c>
      <c r="FS33">
        <v>0</v>
      </c>
      <c r="FX33">
        <v>102</v>
      </c>
      <c r="FY33">
        <v>58</v>
      </c>
      <c r="GD33">
        <v>1</v>
      </c>
      <c r="GF33">
        <v>1897660979</v>
      </c>
      <c r="GG33">
        <v>2</v>
      </c>
      <c r="GH33">
        <v>1</v>
      </c>
      <c r="GI33">
        <v>4</v>
      </c>
      <c r="GJ33">
        <v>0</v>
      </c>
      <c r="GK33">
        <v>0</v>
      </c>
      <c r="GL33">
        <f t="shared" si="48"/>
        <v>0</v>
      </c>
      <c r="GM33">
        <f t="shared" si="49"/>
        <v>0</v>
      </c>
      <c r="GN33">
        <f t="shared" si="50"/>
        <v>0</v>
      </c>
      <c r="GO33">
        <f t="shared" si="51"/>
        <v>0</v>
      </c>
      <c r="GP33">
        <f t="shared" si="52"/>
        <v>0</v>
      </c>
      <c r="GR33">
        <v>0</v>
      </c>
      <c r="GS33">
        <v>3</v>
      </c>
      <c r="GT33">
        <v>0</v>
      </c>
      <c r="GV33">
        <f t="shared" si="53"/>
        <v>0</v>
      </c>
      <c r="GW33">
        <v>1</v>
      </c>
      <c r="GX33">
        <f t="shared" si="54"/>
        <v>0</v>
      </c>
      <c r="HA33">
        <v>0</v>
      </c>
      <c r="HB33">
        <v>0</v>
      </c>
      <c r="HC33">
        <f t="shared" si="55"/>
        <v>0</v>
      </c>
      <c r="HM33" t="s">
        <v>29</v>
      </c>
      <c r="HN33" t="s">
        <v>45</v>
      </c>
      <c r="HO33" t="s">
        <v>46</v>
      </c>
      <c r="HP33" t="s">
        <v>43</v>
      </c>
      <c r="HQ33" t="s">
        <v>43</v>
      </c>
      <c r="IK33">
        <v>0</v>
      </c>
    </row>
    <row r="34" spans="1:255" ht="12.75">
      <c r="A34" s="2">
        <v>18</v>
      </c>
      <c r="B34" s="2">
        <v>1</v>
      </c>
      <c r="C34" s="2">
        <v>24</v>
      </c>
      <c r="D34" s="2"/>
      <c r="E34" s="2" t="s">
        <v>52</v>
      </c>
      <c r="F34" s="2" t="s">
        <v>53</v>
      </c>
      <c r="G34" s="2" t="s">
        <v>54</v>
      </c>
      <c r="H34" s="2" t="s">
        <v>41</v>
      </c>
      <c r="I34" s="2">
        <f>I30*J34</f>
        <v>0</v>
      </c>
      <c r="J34" s="2">
        <v>0</v>
      </c>
      <c r="K34" s="2">
        <v>-1</v>
      </c>
      <c r="L34" s="2"/>
      <c r="M34" s="2"/>
      <c r="N34" s="2"/>
      <c r="O34" s="2">
        <f t="shared" si="21"/>
        <v>0</v>
      </c>
      <c r="P34" s="2">
        <f t="shared" si="22"/>
        <v>0</v>
      </c>
      <c r="Q34" s="2">
        <f t="shared" si="23"/>
        <v>0</v>
      </c>
      <c r="R34" s="2">
        <f t="shared" si="24"/>
        <v>0</v>
      </c>
      <c r="S34" s="2">
        <f t="shared" si="25"/>
        <v>0</v>
      </c>
      <c r="T34" s="2">
        <f t="shared" si="26"/>
        <v>0</v>
      </c>
      <c r="U34" s="2">
        <f t="shared" si="27"/>
        <v>0</v>
      </c>
      <c r="V34" s="2">
        <f t="shared" si="28"/>
        <v>0</v>
      </c>
      <c r="W34" s="2">
        <f t="shared" si="29"/>
        <v>0</v>
      </c>
      <c r="X34" s="2">
        <f t="shared" si="30"/>
        <v>0</v>
      </c>
      <c r="Y34" s="2">
        <f t="shared" si="31"/>
        <v>0</v>
      </c>
      <c r="Z34" s="2"/>
      <c r="AA34" s="2">
        <v>55668703</v>
      </c>
      <c r="AB34" s="2">
        <f t="shared" si="32"/>
        <v>10100</v>
      </c>
      <c r="AC34" s="2">
        <f t="shared" si="56"/>
        <v>10100</v>
      </c>
      <c r="AD34" s="2">
        <f t="shared" si="57"/>
        <v>0</v>
      </c>
      <c r="AE34" s="2">
        <f t="shared" si="58"/>
        <v>0</v>
      </c>
      <c r="AF34" s="2">
        <f t="shared" si="58"/>
        <v>0</v>
      </c>
      <c r="AG34" s="2">
        <f t="shared" si="34"/>
        <v>0</v>
      </c>
      <c r="AH34" s="2">
        <f t="shared" si="59"/>
        <v>0</v>
      </c>
      <c r="AI34" s="2">
        <f t="shared" si="59"/>
        <v>0</v>
      </c>
      <c r="AJ34" s="2">
        <f t="shared" si="36"/>
        <v>0</v>
      </c>
      <c r="AK34" s="2">
        <v>10100</v>
      </c>
      <c r="AL34" s="2">
        <v>10100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102</v>
      </c>
      <c r="AU34" s="2">
        <v>58</v>
      </c>
      <c r="AV34" s="2">
        <v>1</v>
      </c>
      <c r="AW34" s="2">
        <v>1</v>
      </c>
      <c r="AX34" s="2"/>
      <c r="AY34" s="2"/>
      <c r="AZ34" s="2">
        <v>1</v>
      </c>
      <c r="BA34" s="2">
        <v>1</v>
      </c>
      <c r="BB34" s="2">
        <v>1</v>
      </c>
      <c r="BC34" s="2">
        <v>1</v>
      </c>
      <c r="BD34" s="2" t="s">
        <v>3</v>
      </c>
      <c r="BE34" s="2" t="s">
        <v>3</v>
      </c>
      <c r="BF34" s="2" t="s">
        <v>3</v>
      </c>
      <c r="BG34" s="2" t="s">
        <v>3</v>
      </c>
      <c r="BH34" s="2">
        <v>3</v>
      </c>
      <c r="BI34" s="2">
        <v>1</v>
      </c>
      <c r="BJ34" s="2" t="s">
        <v>55</v>
      </c>
      <c r="BK34" s="2"/>
      <c r="BL34" s="2"/>
      <c r="BM34" s="2">
        <v>6001</v>
      </c>
      <c r="BN34" s="2">
        <v>0</v>
      </c>
      <c r="BO34" s="2" t="s">
        <v>3</v>
      </c>
      <c r="BP34" s="2">
        <v>0</v>
      </c>
      <c r="BQ34" s="2">
        <v>2</v>
      </c>
      <c r="BR34" s="2">
        <v>1</v>
      </c>
      <c r="BS34" s="2">
        <v>1</v>
      </c>
      <c r="BT34" s="2">
        <v>1</v>
      </c>
      <c r="BU34" s="2">
        <v>1</v>
      </c>
      <c r="BV34" s="2">
        <v>1</v>
      </c>
      <c r="BW34" s="2">
        <v>1</v>
      </c>
      <c r="BX34" s="2">
        <v>1</v>
      </c>
      <c r="BY34" s="2" t="s">
        <v>3</v>
      </c>
      <c r="BZ34" s="2">
        <v>102</v>
      </c>
      <c r="CA34" s="2">
        <v>58</v>
      </c>
      <c r="CB34" s="2" t="s">
        <v>3</v>
      </c>
      <c r="CC34" s="2"/>
      <c r="CD34" s="2"/>
      <c r="CE34" s="2">
        <v>0</v>
      </c>
      <c r="CF34" s="2">
        <v>0</v>
      </c>
      <c r="CG34" s="2">
        <v>0</v>
      </c>
      <c r="CH34" s="2"/>
      <c r="CI34" s="2"/>
      <c r="CJ34" s="2"/>
      <c r="CK34" s="2"/>
      <c r="CL34" s="2"/>
      <c r="CM34" s="2">
        <v>0</v>
      </c>
      <c r="CN34" s="2" t="s">
        <v>28</v>
      </c>
      <c r="CO34" s="2">
        <v>0</v>
      </c>
      <c r="CP34" s="2">
        <f t="shared" si="37"/>
        <v>0</v>
      </c>
      <c r="CQ34" s="2">
        <f t="shared" si="38"/>
        <v>10100</v>
      </c>
      <c r="CR34" s="2">
        <f t="shared" si="60"/>
        <v>0</v>
      </c>
      <c r="CS34" s="2">
        <f t="shared" si="39"/>
        <v>0</v>
      </c>
      <c r="CT34" s="2">
        <f t="shared" si="40"/>
        <v>0</v>
      </c>
      <c r="CU34" s="2">
        <f t="shared" si="41"/>
        <v>0</v>
      </c>
      <c r="CV34" s="2">
        <f t="shared" si="42"/>
        <v>0</v>
      </c>
      <c r="CW34" s="2">
        <f t="shared" si="43"/>
        <v>0</v>
      </c>
      <c r="CX34" s="2">
        <f t="shared" si="44"/>
        <v>0</v>
      </c>
      <c r="CY34" s="2">
        <f t="shared" si="45"/>
        <v>0</v>
      </c>
      <c r="CZ34" s="2">
        <f t="shared" si="46"/>
        <v>0</v>
      </c>
      <c r="DA34" s="2"/>
      <c r="DB34" s="2"/>
      <c r="DC34" s="2" t="s">
        <v>3</v>
      </c>
      <c r="DD34" s="2" t="s">
        <v>3</v>
      </c>
      <c r="DE34" s="2" t="s">
        <v>3</v>
      </c>
      <c r="DF34" s="2" t="s">
        <v>3</v>
      </c>
      <c r="DG34" s="2" t="s">
        <v>3</v>
      </c>
      <c r="DH34" s="2" t="s">
        <v>3</v>
      </c>
      <c r="DI34" s="2" t="s">
        <v>3</v>
      </c>
      <c r="DJ34" s="2" t="s">
        <v>3</v>
      </c>
      <c r="DK34" s="2" t="s">
        <v>3</v>
      </c>
      <c r="DL34" s="2" t="s">
        <v>3</v>
      </c>
      <c r="DM34" s="2" t="s">
        <v>3</v>
      </c>
      <c r="DN34" s="2">
        <v>0</v>
      </c>
      <c r="DO34" s="2">
        <v>0</v>
      </c>
      <c r="DP34" s="2">
        <v>1</v>
      </c>
      <c r="DQ34" s="2">
        <v>1</v>
      </c>
      <c r="DR34" s="2"/>
      <c r="DS34" s="2"/>
      <c r="DT34" s="2"/>
      <c r="DU34" s="2">
        <v>1009</v>
      </c>
      <c r="DV34" s="2" t="s">
        <v>41</v>
      </c>
      <c r="DW34" s="2" t="s">
        <v>41</v>
      </c>
      <c r="DX34" s="2">
        <v>1000</v>
      </c>
      <c r="DY34" s="2"/>
      <c r="DZ34" s="2" t="s">
        <v>3</v>
      </c>
      <c r="EA34" s="2" t="s">
        <v>3</v>
      </c>
      <c r="EB34" s="2" t="s">
        <v>3</v>
      </c>
      <c r="EC34" s="2" t="s">
        <v>3</v>
      </c>
      <c r="ED34" s="2"/>
      <c r="EE34" s="2">
        <v>55471642</v>
      </c>
      <c r="EF34" s="2">
        <v>2</v>
      </c>
      <c r="EG34" s="2" t="s">
        <v>31</v>
      </c>
      <c r="EH34" s="2">
        <v>6</v>
      </c>
      <c r="EI34" s="2" t="s">
        <v>43</v>
      </c>
      <c r="EJ34" s="2">
        <v>1</v>
      </c>
      <c r="EK34" s="2">
        <v>6001</v>
      </c>
      <c r="EL34" s="2" t="s">
        <v>43</v>
      </c>
      <c r="EM34" s="2" t="s">
        <v>44</v>
      </c>
      <c r="EN34" s="2"/>
      <c r="EO34" s="2" t="s">
        <v>34</v>
      </c>
      <c r="EP34" s="2"/>
      <c r="EQ34" s="2">
        <v>0</v>
      </c>
      <c r="ER34" s="2">
        <v>10100</v>
      </c>
      <c r="ES34" s="2">
        <v>10100</v>
      </c>
      <c r="ET34" s="2">
        <v>0</v>
      </c>
      <c r="EU34" s="2">
        <v>0</v>
      </c>
      <c r="EV34" s="2">
        <v>0</v>
      </c>
      <c r="EW34" s="2">
        <v>0</v>
      </c>
      <c r="EX34" s="2">
        <v>0</v>
      </c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>
        <v>0</v>
      </c>
      <c r="FR34" s="2">
        <f t="shared" si="47"/>
        <v>0</v>
      </c>
      <c r="FS34" s="2">
        <v>0</v>
      </c>
      <c r="FT34" s="2"/>
      <c r="FU34" s="2"/>
      <c r="FV34" s="2"/>
      <c r="FW34" s="2"/>
      <c r="FX34" s="2">
        <v>102</v>
      </c>
      <c r="FY34" s="2">
        <v>58</v>
      </c>
      <c r="FZ34" s="2"/>
      <c r="GA34" s="2" t="s">
        <v>3</v>
      </c>
      <c r="GB34" s="2"/>
      <c r="GC34" s="2"/>
      <c r="GD34" s="2">
        <v>1</v>
      </c>
      <c r="GE34" s="2"/>
      <c r="GF34" s="2">
        <v>-1788787296</v>
      </c>
      <c r="GG34" s="2">
        <v>2</v>
      </c>
      <c r="GH34" s="2">
        <v>1</v>
      </c>
      <c r="GI34" s="2">
        <v>-2</v>
      </c>
      <c r="GJ34" s="2">
        <v>0</v>
      </c>
      <c r="GK34" s="2">
        <v>0</v>
      </c>
      <c r="GL34" s="2">
        <f t="shared" si="48"/>
        <v>0</v>
      </c>
      <c r="GM34" s="2">
        <f t="shared" si="49"/>
        <v>0</v>
      </c>
      <c r="GN34" s="2">
        <f t="shared" si="50"/>
        <v>0</v>
      </c>
      <c r="GO34" s="2">
        <f t="shared" si="51"/>
        <v>0</v>
      </c>
      <c r="GP34" s="2">
        <f t="shared" si="52"/>
        <v>0</v>
      </c>
      <c r="GQ34" s="2"/>
      <c r="GR34" s="2">
        <v>0</v>
      </c>
      <c r="GS34" s="2">
        <v>3</v>
      </c>
      <c r="GT34" s="2">
        <v>0</v>
      </c>
      <c r="GU34" s="2" t="s">
        <v>3</v>
      </c>
      <c r="GV34" s="2">
        <f t="shared" si="53"/>
        <v>0</v>
      </c>
      <c r="GW34" s="2">
        <v>1</v>
      </c>
      <c r="GX34" s="2">
        <f t="shared" si="54"/>
        <v>0</v>
      </c>
      <c r="GY34" s="2"/>
      <c r="GZ34" s="2"/>
      <c r="HA34" s="2">
        <v>0</v>
      </c>
      <c r="HB34" s="2">
        <v>0</v>
      </c>
      <c r="HC34" s="2">
        <f t="shared" si="55"/>
        <v>0</v>
      </c>
      <c r="HD34" s="2"/>
      <c r="HE34" s="2" t="s">
        <v>3</v>
      </c>
      <c r="HF34" s="2" t="s">
        <v>3</v>
      </c>
      <c r="HG34" s="2"/>
      <c r="HH34" s="2"/>
      <c r="HI34" s="2"/>
      <c r="HJ34" s="2"/>
      <c r="HK34" s="2"/>
      <c r="HL34" s="2"/>
      <c r="HM34" s="2" t="s">
        <v>29</v>
      </c>
      <c r="HN34" s="2" t="s">
        <v>45</v>
      </c>
      <c r="HO34" s="2" t="s">
        <v>46</v>
      </c>
      <c r="HP34" s="2" t="s">
        <v>43</v>
      </c>
      <c r="HQ34" s="2" t="s">
        <v>43</v>
      </c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>
        <v>0</v>
      </c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45" ht="12.75">
      <c r="A35">
        <v>18</v>
      </c>
      <c r="B35">
        <v>1</v>
      </c>
      <c r="C35">
        <v>30</v>
      </c>
      <c r="E35" t="s">
        <v>52</v>
      </c>
      <c r="F35" t="s">
        <v>53</v>
      </c>
      <c r="G35" t="s">
        <v>54</v>
      </c>
      <c r="H35" t="s">
        <v>41</v>
      </c>
      <c r="I35">
        <f>I31*J35</f>
        <v>0</v>
      </c>
      <c r="J35">
        <v>0</v>
      </c>
      <c r="K35">
        <v>-1</v>
      </c>
      <c r="O35">
        <f t="shared" si="21"/>
        <v>0</v>
      </c>
      <c r="P35">
        <f t="shared" si="22"/>
        <v>0</v>
      </c>
      <c r="Q35">
        <f t="shared" si="23"/>
        <v>0</v>
      </c>
      <c r="R35">
        <f t="shared" si="24"/>
        <v>0</v>
      </c>
      <c r="S35">
        <f t="shared" si="25"/>
        <v>0</v>
      </c>
      <c r="T35">
        <f t="shared" si="26"/>
        <v>0</v>
      </c>
      <c r="U35">
        <f t="shared" si="27"/>
        <v>0</v>
      </c>
      <c r="V35">
        <f t="shared" si="28"/>
        <v>0</v>
      </c>
      <c r="W35">
        <f t="shared" si="29"/>
        <v>0</v>
      </c>
      <c r="X35">
        <f t="shared" si="30"/>
        <v>0</v>
      </c>
      <c r="Y35">
        <f t="shared" si="31"/>
        <v>0</v>
      </c>
      <c r="AA35">
        <v>55668704</v>
      </c>
      <c r="AB35">
        <f t="shared" si="32"/>
        <v>10100</v>
      </c>
      <c r="AC35">
        <f t="shared" si="56"/>
        <v>10100</v>
      </c>
      <c r="AD35">
        <f t="shared" si="57"/>
        <v>0</v>
      </c>
      <c r="AE35">
        <f t="shared" si="58"/>
        <v>0</v>
      </c>
      <c r="AF35">
        <f t="shared" si="58"/>
        <v>0</v>
      </c>
      <c r="AG35">
        <f t="shared" si="34"/>
        <v>0</v>
      </c>
      <c r="AH35">
        <f t="shared" si="59"/>
        <v>0</v>
      </c>
      <c r="AI35">
        <f t="shared" si="59"/>
        <v>0</v>
      </c>
      <c r="AJ35">
        <f t="shared" si="36"/>
        <v>0</v>
      </c>
      <c r="AK35">
        <v>10100</v>
      </c>
      <c r="AL35">
        <v>10100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102</v>
      </c>
      <c r="AU35">
        <v>58</v>
      </c>
      <c r="AV35">
        <v>1</v>
      </c>
      <c r="AW35">
        <v>1</v>
      </c>
      <c r="AZ35">
        <v>1</v>
      </c>
      <c r="BA35">
        <v>1</v>
      </c>
      <c r="BB35">
        <v>1</v>
      </c>
      <c r="BC35">
        <v>6.72</v>
      </c>
      <c r="BH35">
        <v>3</v>
      </c>
      <c r="BI35">
        <v>1</v>
      </c>
      <c r="BJ35" t="s">
        <v>55</v>
      </c>
      <c r="BM35">
        <v>6001</v>
      </c>
      <c r="BN35">
        <v>0</v>
      </c>
      <c r="BO35" t="s">
        <v>37</v>
      </c>
      <c r="BP35">
        <v>1</v>
      </c>
      <c r="BQ35">
        <v>2</v>
      </c>
      <c r="BR35">
        <v>1</v>
      </c>
      <c r="BS35">
        <v>1</v>
      </c>
      <c r="BT35">
        <v>1</v>
      </c>
      <c r="BU35">
        <v>1</v>
      </c>
      <c r="BV35">
        <v>1</v>
      </c>
      <c r="BW35">
        <v>1</v>
      </c>
      <c r="BX35">
        <v>1</v>
      </c>
      <c r="BZ35">
        <v>102</v>
      </c>
      <c r="CA35">
        <v>58</v>
      </c>
      <c r="CE35">
        <v>0</v>
      </c>
      <c r="CF35">
        <v>0</v>
      </c>
      <c r="CG35">
        <v>0</v>
      </c>
      <c r="CM35">
        <v>0</v>
      </c>
      <c r="CN35" t="s">
        <v>28</v>
      </c>
      <c r="CO35">
        <v>0</v>
      </c>
      <c r="CP35">
        <f t="shared" si="37"/>
        <v>0</v>
      </c>
      <c r="CQ35">
        <f t="shared" si="38"/>
        <v>67872</v>
      </c>
      <c r="CR35">
        <f t="shared" si="60"/>
        <v>0</v>
      </c>
      <c r="CS35">
        <f t="shared" si="39"/>
        <v>0</v>
      </c>
      <c r="CT35">
        <f t="shared" si="40"/>
        <v>0</v>
      </c>
      <c r="CU35">
        <f t="shared" si="41"/>
        <v>0</v>
      </c>
      <c r="CV35">
        <f t="shared" si="42"/>
        <v>0</v>
      </c>
      <c r="CW35">
        <f t="shared" si="43"/>
        <v>0</v>
      </c>
      <c r="CX35">
        <f t="shared" si="44"/>
        <v>0</v>
      </c>
      <c r="CY35">
        <f t="shared" si="45"/>
        <v>0</v>
      </c>
      <c r="CZ35">
        <f t="shared" si="46"/>
        <v>0</v>
      </c>
      <c r="DN35">
        <v>0</v>
      </c>
      <c r="DO35">
        <v>0</v>
      </c>
      <c r="DP35">
        <v>1</v>
      </c>
      <c r="DQ35">
        <v>1</v>
      </c>
      <c r="DU35">
        <v>1009</v>
      </c>
      <c r="DV35" t="s">
        <v>41</v>
      </c>
      <c r="DW35" t="s">
        <v>41</v>
      </c>
      <c r="DX35">
        <v>1000</v>
      </c>
      <c r="EE35">
        <v>55471642</v>
      </c>
      <c r="EF35">
        <v>2</v>
      </c>
      <c r="EG35" t="s">
        <v>31</v>
      </c>
      <c r="EH35">
        <v>6</v>
      </c>
      <c r="EI35" t="s">
        <v>43</v>
      </c>
      <c r="EJ35">
        <v>1</v>
      </c>
      <c r="EK35">
        <v>6001</v>
      </c>
      <c r="EL35" t="s">
        <v>43</v>
      </c>
      <c r="EM35" t="s">
        <v>44</v>
      </c>
      <c r="EO35" t="s">
        <v>34</v>
      </c>
      <c r="EQ35">
        <v>0</v>
      </c>
      <c r="ER35">
        <v>10100</v>
      </c>
      <c r="ES35">
        <v>10100</v>
      </c>
      <c r="ET35">
        <v>0</v>
      </c>
      <c r="EU35">
        <v>0</v>
      </c>
      <c r="EV35">
        <v>0</v>
      </c>
      <c r="EW35">
        <v>0</v>
      </c>
      <c r="EX35">
        <v>0</v>
      </c>
      <c r="FQ35">
        <v>0</v>
      </c>
      <c r="FR35">
        <f t="shared" si="47"/>
        <v>0</v>
      </c>
      <c r="FS35">
        <v>0</v>
      </c>
      <c r="FX35">
        <v>102</v>
      </c>
      <c r="FY35">
        <v>58</v>
      </c>
      <c r="GD35">
        <v>1</v>
      </c>
      <c r="GF35">
        <v>-1788787296</v>
      </c>
      <c r="GG35">
        <v>2</v>
      </c>
      <c r="GH35">
        <v>1</v>
      </c>
      <c r="GI35">
        <v>4</v>
      </c>
      <c r="GJ35">
        <v>0</v>
      </c>
      <c r="GK35">
        <v>0</v>
      </c>
      <c r="GL35">
        <f t="shared" si="48"/>
        <v>0</v>
      </c>
      <c r="GM35">
        <f t="shared" si="49"/>
        <v>0</v>
      </c>
      <c r="GN35">
        <f t="shared" si="50"/>
        <v>0</v>
      </c>
      <c r="GO35">
        <f t="shared" si="51"/>
        <v>0</v>
      </c>
      <c r="GP35">
        <f t="shared" si="52"/>
        <v>0</v>
      </c>
      <c r="GR35">
        <v>0</v>
      </c>
      <c r="GS35">
        <v>3</v>
      </c>
      <c r="GT35">
        <v>0</v>
      </c>
      <c r="GV35">
        <f t="shared" si="53"/>
        <v>0</v>
      </c>
      <c r="GW35">
        <v>1</v>
      </c>
      <c r="GX35">
        <f t="shared" si="54"/>
        <v>0</v>
      </c>
      <c r="HA35">
        <v>0</v>
      </c>
      <c r="HB35">
        <v>0</v>
      </c>
      <c r="HC35">
        <f t="shared" si="55"/>
        <v>0</v>
      </c>
      <c r="HM35" t="s">
        <v>29</v>
      </c>
      <c r="HN35" t="s">
        <v>45</v>
      </c>
      <c r="HO35" t="s">
        <v>46</v>
      </c>
      <c r="HP35" t="s">
        <v>43</v>
      </c>
      <c r="HQ35" t="s">
        <v>43</v>
      </c>
      <c r="IK35">
        <v>0</v>
      </c>
    </row>
    <row r="36" spans="1:255" ht="12.75">
      <c r="A36" s="2">
        <v>17</v>
      </c>
      <c r="B36" s="2">
        <v>1</v>
      </c>
      <c r="C36" s="2">
        <f>ROW(SmtRes!A36)</f>
        <v>36</v>
      </c>
      <c r="D36" s="2">
        <f>ROW(EtalonRes!A44)</f>
        <v>44</v>
      </c>
      <c r="E36" s="2" t="s">
        <v>56</v>
      </c>
      <c r="F36" s="2" t="s">
        <v>57</v>
      </c>
      <c r="G36" s="2" t="s">
        <v>58</v>
      </c>
      <c r="H36" s="2" t="s">
        <v>59</v>
      </c>
      <c r="I36" s="2">
        <f>ROUND(16/100,7)</f>
        <v>0.16</v>
      </c>
      <c r="J36" s="2">
        <v>0</v>
      </c>
      <c r="K36" s="2">
        <f>ROUND(16/100,7)</f>
        <v>0.16</v>
      </c>
      <c r="L36" s="2"/>
      <c r="M36" s="2"/>
      <c r="N36" s="2"/>
      <c r="O36" s="2">
        <f t="shared" si="21"/>
        <v>117.68</v>
      </c>
      <c r="P36" s="2">
        <f t="shared" si="22"/>
        <v>0.17</v>
      </c>
      <c r="Q36" s="2">
        <f t="shared" si="23"/>
        <v>90.88</v>
      </c>
      <c r="R36" s="2">
        <f t="shared" si="24"/>
        <v>33.78</v>
      </c>
      <c r="S36" s="2">
        <f t="shared" si="25"/>
        <v>26.63</v>
      </c>
      <c r="T36" s="2">
        <f t="shared" si="26"/>
        <v>0</v>
      </c>
      <c r="U36" s="2">
        <f t="shared" si="27"/>
        <v>2.7680000000000002</v>
      </c>
      <c r="V36" s="2">
        <f t="shared" si="28"/>
        <v>2.912</v>
      </c>
      <c r="W36" s="2">
        <f t="shared" si="29"/>
        <v>0</v>
      </c>
      <c r="X36" s="2">
        <f t="shared" si="30"/>
        <v>62.22</v>
      </c>
      <c r="Y36" s="2">
        <f t="shared" si="31"/>
        <v>35.64</v>
      </c>
      <c r="Z36" s="2"/>
      <c r="AA36" s="2">
        <v>55668703</v>
      </c>
      <c r="AB36" s="2">
        <f t="shared" si="32"/>
        <v>735.48</v>
      </c>
      <c r="AC36" s="2">
        <f t="shared" si="56"/>
        <v>1.08</v>
      </c>
      <c r="AD36" s="2">
        <f t="shared" si="57"/>
        <v>567.97</v>
      </c>
      <c r="AE36" s="2">
        <f t="shared" si="58"/>
        <v>211.12</v>
      </c>
      <c r="AF36" s="2">
        <f t="shared" si="58"/>
        <v>166.43</v>
      </c>
      <c r="AG36" s="2">
        <f t="shared" si="34"/>
        <v>0</v>
      </c>
      <c r="AH36" s="2">
        <f t="shared" si="59"/>
        <v>17.3</v>
      </c>
      <c r="AI36" s="2">
        <f t="shared" si="59"/>
        <v>18.2</v>
      </c>
      <c r="AJ36" s="2">
        <f t="shared" si="36"/>
        <v>0</v>
      </c>
      <c r="AK36" s="2">
        <v>735.48</v>
      </c>
      <c r="AL36" s="2">
        <v>1.08</v>
      </c>
      <c r="AM36" s="2">
        <v>567.97</v>
      </c>
      <c r="AN36" s="2">
        <v>211.12</v>
      </c>
      <c r="AO36" s="2">
        <v>166.43</v>
      </c>
      <c r="AP36" s="2">
        <v>0</v>
      </c>
      <c r="AQ36" s="2">
        <v>17.3</v>
      </c>
      <c r="AR36" s="2">
        <v>18.2</v>
      </c>
      <c r="AS36" s="2">
        <v>0</v>
      </c>
      <c r="AT36" s="2">
        <v>103</v>
      </c>
      <c r="AU36" s="2">
        <v>59</v>
      </c>
      <c r="AV36" s="2">
        <v>1</v>
      </c>
      <c r="AW36" s="2">
        <v>1</v>
      </c>
      <c r="AX36" s="2"/>
      <c r="AY36" s="2"/>
      <c r="AZ36" s="2">
        <v>1</v>
      </c>
      <c r="BA36" s="2">
        <v>1</v>
      </c>
      <c r="BB36" s="2">
        <v>1</v>
      </c>
      <c r="BC36" s="2">
        <v>1</v>
      </c>
      <c r="BD36" s="2" t="s">
        <v>3</v>
      </c>
      <c r="BE36" s="2" t="s">
        <v>3</v>
      </c>
      <c r="BF36" s="2" t="s">
        <v>3</v>
      </c>
      <c r="BG36" s="2" t="s">
        <v>3</v>
      </c>
      <c r="BH36" s="2">
        <v>0</v>
      </c>
      <c r="BI36" s="2">
        <v>1</v>
      </c>
      <c r="BJ36" s="2" t="s">
        <v>60</v>
      </c>
      <c r="BK36" s="2"/>
      <c r="BL36" s="2"/>
      <c r="BM36" s="2">
        <v>46001</v>
      </c>
      <c r="BN36" s="2">
        <v>0</v>
      </c>
      <c r="BO36" s="2" t="s">
        <v>3</v>
      </c>
      <c r="BP36" s="2">
        <v>0</v>
      </c>
      <c r="BQ36" s="2">
        <v>2</v>
      </c>
      <c r="BR36" s="2">
        <v>0</v>
      </c>
      <c r="BS36" s="2">
        <v>1</v>
      </c>
      <c r="BT36" s="2">
        <v>1</v>
      </c>
      <c r="BU36" s="2">
        <v>1</v>
      </c>
      <c r="BV36" s="2">
        <v>1</v>
      </c>
      <c r="BW36" s="2">
        <v>1</v>
      </c>
      <c r="BX36" s="2">
        <v>1</v>
      </c>
      <c r="BY36" s="2" t="s">
        <v>3</v>
      </c>
      <c r="BZ36" s="2">
        <v>103</v>
      </c>
      <c r="CA36" s="2">
        <v>59</v>
      </c>
      <c r="CB36" s="2" t="s">
        <v>3</v>
      </c>
      <c r="CC36" s="2"/>
      <c r="CD36" s="2"/>
      <c r="CE36" s="2">
        <v>0</v>
      </c>
      <c r="CF36" s="2">
        <v>0</v>
      </c>
      <c r="CG36" s="2">
        <v>0</v>
      </c>
      <c r="CH36" s="2"/>
      <c r="CI36" s="2"/>
      <c r="CJ36" s="2"/>
      <c r="CK36" s="2"/>
      <c r="CL36" s="2"/>
      <c r="CM36" s="2">
        <v>0</v>
      </c>
      <c r="CN36" s="2" t="s">
        <v>3</v>
      </c>
      <c r="CO36" s="2">
        <v>0</v>
      </c>
      <c r="CP36" s="2">
        <f t="shared" si="37"/>
        <v>117.67999999999999</v>
      </c>
      <c r="CQ36" s="2">
        <f t="shared" si="38"/>
        <v>1.08</v>
      </c>
      <c r="CR36" s="2">
        <f t="shared" si="60"/>
        <v>567.97</v>
      </c>
      <c r="CS36" s="2">
        <f t="shared" si="39"/>
        <v>211.12</v>
      </c>
      <c r="CT36" s="2">
        <f t="shared" si="40"/>
        <v>166.43</v>
      </c>
      <c r="CU36" s="2">
        <f t="shared" si="41"/>
        <v>0</v>
      </c>
      <c r="CV36" s="2">
        <f t="shared" si="42"/>
        <v>17.3</v>
      </c>
      <c r="CW36" s="2">
        <f t="shared" si="43"/>
        <v>18.2</v>
      </c>
      <c r="CX36" s="2">
        <f t="shared" si="44"/>
        <v>0</v>
      </c>
      <c r="CY36" s="2">
        <f t="shared" si="45"/>
        <v>62.2223</v>
      </c>
      <c r="CZ36" s="2">
        <f t="shared" si="46"/>
        <v>35.64189999999999</v>
      </c>
      <c r="DA36" s="2"/>
      <c r="DB36" s="2"/>
      <c r="DC36" s="2" t="s">
        <v>3</v>
      </c>
      <c r="DD36" s="2" t="s">
        <v>3</v>
      </c>
      <c r="DE36" s="2" t="s">
        <v>3</v>
      </c>
      <c r="DF36" s="2" t="s">
        <v>3</v>
      </c>
      <c r="DG36" s="2" t="s">
        <v>3</v>
      </c>
      <c r="DH36" s="2" t="s">
        <v>3</v>
      </c>
      <c r="DI36" s="2" t="s">
        <v>3</v>
      </c>
      <c r="DJ36" s="2" t="s">
        <v>3</v>
      </c>
      <c r="DK36" s="2" t="s">
        <v>3</v>
      </c>
      <c r="DL36" s="2" t="s">
        <v>3</v>
      </c>
      <c r="DM36" s="2" t="s">
        <v>3</v>
      </c>
      <c r="DN36" s="2">
        <v>0</v>
      </c>
      <c r="DO36" s="2">
        <v>0</v>
      </c>
      <c r="DP36" s="2">
        <v>1</v>
      </c>
      <c r="DQ36" s="2">
        <v>1</v>
      </c>
      <c r="DR36" s="2"/>
      <c r="DS36" s="2"/>
      <c r="DT36" s="2"/>
      <c r="DU36" s="2">
        <v>1013</v>
      </c>
      <c r="DV36" s="2" t="s">
        <v>59</v>
      </c>
      <c r="DW36" s="2" t="s">
        <v>59</v>
      </c>
      <c r="DX36" s="2">
        <v>1</v>
      </c>
      <c r="DY36" s="2"/>
      <c r="DZ36" s="2" t="s">
        <v>3</v>
      </c>
      <c r="EA36" s="2" t="s">
        <v>3</v>
      </c>
      <c r="EB36" s="2" t="s">
        <v>3</v>
      </c>
      <c r="EC36" s="2" t="s">
        <v>3</v>
      </c>
      <c r="ED36" s="2"/>
      <c r="EE36" s="2">
        <v>55471764</v>
      </c>
      <c r="EF36" s="2">
        <v>2</v>
      </c>
      <c r="EG36" s="2" t="s">
        <v>31</v>
      </c>
      <c r="EH36" s="2">
        <v>40</v>
      </c>
      <c r="EI36" s="2" t="s">
        <v>61</v>
      </c>
      <c r="EJ36" s="2">
        <v>1</v>
      </c>
      <c r="EK36" s="2">
        <v>46001</v>
      </c>
      <c r="EL36" s="2" t="s">
        <v>62</v>
      </c>
      <c r="EM36" s="2" t="s">
        <v>63</v>
      </c>
      <c r="EN36" s="2"/>
      <c r="EO36" s="2" t="s">
        <v>3</v>
      </c>
      <c r="EP36" s="2"/>
      <c r="EQ36" s="2">
        <v>0</v>
      </c>
      <c r="ER36" s="2">
        <v>735.48</v>
      </c>
      <c r="ES36" s="2">
        <v>1.08</v>
      </c>
      <c r="ET36" s="2">
        <v>567.97</v>
      </c>
      <c r="EU36" s="2">
        <v>211.12</v>
      </c>
      <c r="EV36" s="2">
        <v>166.43</v>
      </c>
      <c r="EW36" s="2">
        <v>17.3</v>
      </c>
      <c r="EX36" s="2">
        <v>18.2</v>
      </c>
      <c r="EY36" s="2">
        <v>0</v>
      </c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>
        <v>0</v>
      </c>
      <c r="FR36" s="2">
        <f t="shared" si="47"/>
        <v>0</v>
      </c>
      <c r="FS36" s="2">
        <v>0</v>
      </c>
      <c r="FT36" s="2"/>
      <c r="FU36" s="2"/>
      <c r="FV36" s="2"/>
      <c r="FW36" s="2"/>
      <c r="FX36" s="2">
        <v>103</v>
      </c>
      <c r="FY36" s="2">
        <v>59</v>
      </c>
      <c r="FZ36" s="2"/>
      <c r="GA36" s="2" t="s">
        <v>3</v>
      </c>
      <c r="GB36" s="2"/>
      <c r="GC36" s="2"/>
      <c r="GD36" s="2">
        <v>1</v>
      </c>
      <c r="GE36" s="2"/>
      <c r="GF36" s="2">
        <v>292819351</v>
      </c>
      <c r="GG36" s="2">
        <v>2</v>
      </c>
      <c r="GH36" s="2">
        <v>1</v>
      </c>
      <c r="GI36" s="2">
        <v>-2</v>
      </c>
      <c r="GJ36" s="2">
        <v>0</v>
      </c>
      <c r="GK36" s="2">
        <v>0</v>
      </c>
      <c r="GL36" s="2">
        <f t="shared" si="48"/>
        <v>0</v>
      </c>
      <c r="GM36" s="2">
        <f t="shared" si="49"/>
        <v>215.54</v>
      </c>
      <c r="GN36" s="2">
        <f t="shared" si="50"/>
        <v>215.54</v>
      </c>
      <c r="GO36" s="2">
        <f t="shared" si="51"/>
        <v>0</v>
      </c>
      <c r="GP36" s="2">
        <f t="shared" si="52"/>
        <v>0</v>
      </c>
      <c r="GQ36" s="2"/>
      <c r="GR36" s="2">
        <v>0</v>
      </c>
      <c r="GS36" s="2">
        <v>3</v>
      </c>
      <c r="GT36" s="2">
        <v>0</v>
      </c>
      <c r="GU36" s="2" t="s">
        <v>3</v>
      </c>
      <c r="GV36" s="2">
        <f t="shared" si="53"/>
        <v>0</v>
      </c>
      <c r="GW36" s="2">
        <v>1</v>
      </c>
      <c r="GX36" s="2">
        <f t="shared" si="54"/>
        <v>0</v>
      </c>
      <c r="GY36" s="2"/>
      <c r="GZ36" s="2"/>
      <c r="HA36" s="2">
        <v>0</v>
      </c>
      <c r="HB36" s="2">
        <v>0</v>
      </c>
      <c r="HC36" s="2">
        <f t="shared" si="55"/>
        <v>0</v>
      </c>
      <c r="HD36" s="2"/>
      <c r="HE36" s="2" t="s">
        <v>3</v>
      </c>
      <c r="HF36" s="2" t="s">
        <v>3</v>
      </c>
      <c r="HG36" s="2"/>
      <c r="HH36" s="2"/>
      <c r="HI36" s="2"/>
      <c r="HJ36" s="2"/>
      <c r="HK36" s="2"/>
      <c r="HL36" s="2"/>
      <c r="HM36" s="2" t="s">
        <v>3</v>
      </c>
      <c r="HN36" s="2" t="s">
        <v>64</v>
      </c>
      <c r="HO36" s="2" t="s">
        <v>65</v>
      </c>
      <c r="HP36" s="2" t="s">
        <v>62</v>
      </c>
      <c r="HQ36" s="2" t="s">
        <v>62</v>
      </c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>
        <v>0</v>
      </c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45" ht="12.75">
      <c r="A37">
        <v>17</v>
      </c>
      <c r="B37">
        <v>1</v>
      </c>
      <c r="C37">
        <f>ROW(SmtRes!A42)</f>
        <v>42</v>
      </c>
      <c r="D37">
        <f>ROW(EtalonRes!A50)</f>
        <v>50</v>
      </c>
      <c r="E37" t="s">
        <v>56</v>
      </c>
      <c r="F37" t="s">
        <v>57</v>
      </c>
      <c r="G37" t="s">
        <v>58</v>
      </c>
      <c r="H37" t="s">
        <v>59</v>
      </c>
      <c r="I37">
        <f>ROUND(16/100,7)</f>
        <v>0.16</v>
      </c>
      <c r="J37">
        <v>0</v>
      </c>
      <c r="K37">
        <f>ROUND(16/100,7)</f>
        <v>0.16</v>
      </c>
      <c r="O37">
        <f t="shared" si="21"/>
        <v>2198.67</v>
      </c>
      <c r="P37">
        <f t="shared" si="22"/>
        <v>1.16</v>
      </c>
      <c r="Q37">
        <f t="shared" si="23"/>
        <v>1203.19</v>
      </c>
      <c r="R37">
        <f t="shared" si="24"/>
        <v>1261.32</v>
      </c>
      <c r="S37">
        <f t="shared" si="25"/>
        <v>994.32</v>
      </c>
      <c r="T37">
        <f t="shared" si="26"/>
        <v>0</v>
      </c>
      <c r="U37">
        <f t="shared" si="27"/>
        <v>2.7680000000000002</v>
      </c>
      <c r="V37">
        <f t="shared" si="28"/>
        <v>2.912</v>
      </c>
      <c r="W37">
        <f t="shared" si="29"/>
        <v>0</v>
      </c>
      <c r="X37">
        <f t="shared" si="30"/>
        <v>2323.31</v>
      </c>
      <c r="Y37">
        <f t="shared" si="31"/>
        <v>1330.83</v>
      </c>
      <c r="AA37">
        <v>55668704</v>
      </c>
      <c r="AB37">
        <f t="shared" si="32"/>
        <v>735.48</v>
      </c>
      <c r="AC37">
        <f t="shared" si="56"/>
        <v>1.08</v>
      </c>
      <c r="AD37">
        <f t="shared" si="57"/>
        <v>567.97</v>
      </c>
      <c r="AE37">
        <f t="shared" si="58"/>
        <v>211.12</v>
      </c>
      <c r="AF37">
        <f t="shared" si="58"/>
        <v>166.43</v>
      </c>
      <c r="AG37">
        <f t="shared" si="34"/>
        <v>0</v>
      </c>
      <c r="AH37">
        <f t="shared" si="59"/>
        <v>17.3</v>
      </c>
      <c r="AI37">
        <f t="shared" si="59"/>
        <v>18.2</v>
      </c>
      <c r="AJ37">
        <f t="shared" si="36"/>
        <v>0</v>
      </c>
      <c r="AK37">
        <v>735.48</v>
      </c>
      <c r="AL37">
        <v>1.08</v>
      </c>
      <c r="AM37">
        <v>567.97</v>
      </c>
      <c r="AN37">
        <v>211.12</v>
      </c>
      <c r="AO37">
        <v>166.43</v>
      </c>
      <c r="AP37">
        <v>0</v>
      </c>
      <c r="AQ37">
        <v>17.3</v>
      </c>
      <c r="AR37">
        <v>18.2</v>
      </c>
      <c r="AS37">
        <v>0</v>
      </c>
      <c r="AT37">
        <v>103</v>
      </c>
      <c r="AU37">
        <v>59</v>
      </c>
      <c r="AV37">
        <v>1</v>
      </c>
      <c r="AW37">
        <v>1</v>
      </c>
      <c r="AZ37">
        <v>1</v>
      </c>
      <c r="BA37">
        <v>37.34</v>
      </c>
      <c r="BB37">
        <v>13.24</v>
      </c>
      <c r="BC37">
        <v>6.72</v>
      </c>
      <c r="BH37">
        <v>0</v>
      </c>
      <c r="BI37">
        <v>1</v>
      </c>
      <c r="BJ37" t="s">
        <v>60</v>
      </c>
      <c r="BM37">
        <v>46001</v>
      </c>
      <c r="BN37">
        <v>0</v>
      </c>
      <c r="BO37" t="s">
        <v>37</v>
      </c>
      <c r="BP37">
        <v>1</v>
      </c>
      <c r="BQ37">
        <v>2</v>
      </c>
      <c r="BR37">
        <v>0</v>
      </c>
      <c r="BS37">
        <v>37.34</v>
      </c>
      <c r="BT37">
        <v>1</v>
      </c>
      <c r="BU37">
        <v>1</v>
      </c>
      <c r="BV37">
        <v>1</v>
      </c>
      <c r="BW37">
        <v>1</v>
      </c>
      <c r="BX37">
        <v>1</v>
      </c>
      <c r="BZ37">
        <v>103</v>
      </c>
      <c r="CA37">
        <v>59</v>
      </c>
      <c r="CE37">
        <v>0</v>
      </c>
      <c r="CF37">
        <v>0</v>
      </c>
      <c r="CG37">
        <v>0</v>
      </c>
      <c r="CM37">
        <v>0</v>
      </c>
      <c r="CO37">
        <v>0</v>
      </c>
      <c r="CP37">
        <f t="shared" si="37"/>
        <v>2198.67</v>
      </c>
      <c r="CQ37">
        <f t="shared" si="38"/>
        <v>7.2576</v>
      </c>
      <c r="CR37">
        <f t="shared" si="60"/>
        <v>7519.9228</v>
      </c>
      <c r="CS37">
        <f t="shared" si="39"/>
        <v>7883.220800000001</v>
      </c>
      <c r="CT37">
        <f t="shared" si="40"/>
        <v>6214.4962000000005</v>
      </c>
      <c r="CU37">
        <f t="shared" si="41"/>
        <v>0</v>
      </c>
      <c r="CV37">
        <f t="shared" si="42"/>
        <v>17.3</v>
      </c>
      <c r="CW37">
        <f t="shared" si="43"/>
        <v>18.2</v>
      </c>
      <c r="CX37">
        <f t="shared" si="44"/>
        <v>0</v>
      </c>
      <c r="CY37">
        <f t="shared" si="45"/>
        <v>2323.3091999999997</v>
      </c>
      <c r="CZ37">
        <f t="shared" si="46"/>
        <v>1330.8275999999998</v>
      </c>
      <c r="DN37">
        <v>0</v>
      </c>
      <c r="DO37">
        <v>0</v>
      </c>
      <c r="DP37">
        <v>1</v>
      </c>
      <c r="DQ37">
        <v>1</v>
      </c>
      <c r="DU37">
        <v>1013</v>
      </c>
      <c r="DV37" t="s">
        <v>59</v>
      </c>
      <c r="DW37" t="s">
        <v>59</v>
      </c>
      <c r="DX37">
        <v>1</v>
      </c>
      <c r="EE37">
        <v>55471764</v>
      </c>
      <c r="EF37">
        <v>2</v>
      </c>
      <c r="EG37" t="s">
        <v>31</v>
      </c>
      <c r="EH37">
        <v>40</v>
      </c>
      <c r="EI37" t="s">
        <v>61</v>
      </c>
      <c r="EJ37">
        <v>1</v>
      </c>
      <c r="EK37">
        <v>46001</v>
      </c>
      <c r="EL37" t="s">
        <v>62</v>
      </c>
      <c r="EM37" t="s">
        <v>63</v>
      </c>
      <c r="EQ37">
        <v>0</v>
      </c>
      <c r="ER37">
        <v>735.48</v>
      </c>
      <c r="ES37">
        <v>1.08</v>
      </c>
      <c r="ET37">
        <v>567.97</v>
      </c>
      <c r="EU37">
        <v>211.12</v>
      </c>
      <c r="EV37">
        <v>166.43</v>
      </c>
      <c r="EW37">
        <v>17.3</v>
      </c>
      <c r="EX37">
        <v>18.2</v>
      </c>
      <c r="EY37">
        <v>0</v>
      </c>
      <c r="FQ37">
        <v>0</v>
      </c>
      <c r="FR37">
        <f t="shared" si="47"/>
        <v>0</v>
      </c>
      <c r="FS37">
        <v>0</v>
      </c>
      <c r="FX37">
        <v>103</v>
      </c>
      <c r="FY37">
        <v>59</v>
      </c>
      <c r="GD37">
        <v>1</v>
      </c>
      <c r="GF37">
        <v>292819351</v>
      </c>
      <c r="GG37">
        <v>2</v>
      </c>
      <c r="GH37">
        <v>1</v>
      </c>
      <c r="GI37">
        <v>4</v>
      </c>
      <c r="GJ37">
        <v>0</v>
      </c>
      <c r="GK37">
        <v>0</v>
      </c>
      <c r="GL37">
        <f t="shared" si="48"/>
        <v>0</v>
      </c>
      <c r="GM37">
        <f t="shared" si="49"/>
        <v>5852.81</v>
      </c>
      <c r="GN37">
        <f t="shared" si="50"/>
        <v>5852.81</v>
      </c>
      <c r="GO37">
        <f t="shared" si="51"/>
        <v>0</v>
      </c>
      <c r="GP37">
        <f t="shared" si="52"/>
        <v>0</v>
      </c>
      <c r="GR37">
        <v>0</v>
      </c>
      <c r="GS37">
        <v>3</v>
      </c>
      <c r="GT37">
        <v>0</v>
      </c>
      <c r="GV37">
        <f t="shared" si="53"/>
        <v>0</v>
      </c>
      <c r="GW37">
        <v>1</v>
      </c>
      <c r="GX37">
        <f t="shared" si="54"/>
        <v>0</v>
      </c>
      <c r="HA37">
        <v>0</v>
      </c>
      <c r="HB37">
        <v>0</v>
      </c>
      <c r="HC37">
        <f t="shared" si="55"/>
        <v>0</v>
      </c>
      <c r="HN37" t="s">
        <v>64</v>
      </c>
      <c r="HO37" t="s">
        <v>65</v>
      </c>
      <c r="HP37" t="s">
        <v>62</v>
      </c>
      <c r="HQ37" t="s">
        <v>62</v>
      </c>
      <c r="IK37">
        <v>0</v>
      </c>
    </row>
    <row r="38" spans="1:255" ht="12.75">
      <c r="A38" s="2">
        <v>18</v>
      </c>
      <c r="B38" s="2">
        <v>1</v>
      </c>
      <c r="C38" s="2">
        <v>36</v>
      </c>
      <c r="D38" s="2"/>
      <c r="E38" s="2" t="s">
        <v>66</v>
      </c>
      <c r="F38" s="2" t="s">
        <v>67</v>
      </c>
      <c r="G38" s="2" t="s">
        <v>68</v>
      </c>
      <c r="H38" s="2" t="s">
        <v>50</v>
      </c>
      <c r="I38" s="2">
        <f>I36*J38</f>
        <v>1.5</v>
      </c>
      <c r="J38" s="2">
        <v>9.375</v>
      </c>
      <c r="K38" s="2">
        <v>9.375</v>
      </c>
      <c r="L38" s="2"/>
      <c r="M38" s="2"/>
      <c r="N38" s="2"/>
      <c r="O38" s="2">
        <f t="shared" si="21"/>
        <v>1258.98</v>
      </c>
      <c r="P38" s="2">
        <f t="shared" si="22"/>
        <v>1258.98</v>
      </c>
      <c r="Q38" s="2">
        <f t="shared" si="23"/>
        <v>0</v>
      </c>
      <c r="R38" s="2">
        <f t="shared" si="24"/>
        <v>0</v>
      </c>
      <c r="S38" s="2">
        <f t="shared" si="25"/>
        <v>0</v>
      </c>
      <c r="T38" s="2">
        <f t="shared" si="26"/>
        <v>0</v>
      </c>
      <c r="U38" s="2">
        <f t="shared" si="27"/>
        <v>0</v>
      </c>
      <c r="V38" s="2">
        <f t="shared" si="28"/>
        <v>0</v>
      </c>
      <c r="W38" s="2">
        <f t="shared" si="29"/>
        <v>0</v>
      </c>
      <c r="X38" s="2">
        <f t="shared" si="30"/>
        <v>0</v>
      </c>
      <c r="Y38" s="2">
        <f t="shared" si="31"/>
        <v>0</v>
      </c>
      <c r="Z38" s="2"/>
      <c r="AA38" s="2">
        <v>55668703</v>
      </c>
      <c r="AB38" s="2">
        <f t="shared" si="32"/>
        <v>839.32</v>
      </c>
      <c r="AC38" s="2">
        <f t="shared" si="56"/>
        <v>839.32</v>
      </c>
      <c r="AD38" s="2">
        <f t="shared" si="57"/>
        <v>0</v>
      </c>
      <c r="AE38" s="2">
        <f t="shared" si="58"/>
        <v>0</v>
      </c>
      <c r="AF38" s="2">
        <f t="shared" si="58"/>
        <v>0</v>
      </c>
      <c r="AG38" s="2">
        <f t="shared" si="34"/>
        <v>0</v>
      </c>
      <c r="AH38" s="2">
        <f t="shared" si="59"/>
        <v>0</v>
      </c>
      <c r="AI38" s="2">
        <f t="shared" si="59"/>
        <v>0</v>
      </c>
      <c r="AJ38" s="2">
        <f t="shared" si="36"/>
        <v>0</v>
      </c>
      <c r="AK38" s="2">
        <v>839.32</v>
      </c>
      <c r="AL38" s="2">
        <v>839.32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103</v>
      </c>
      <c r="AU38" s="2">
        <v>59</v>
      </c>
      <c r="AV38" s="2">
        <v>1</v>
      </c>
      <c r="AW38" s="2">
        <v>1</v>
      </c>
      <c r="AX38" s="2"/>
      <c r="AY38" s="2"/>
      <c r="AZ38" s="2">
        <v>1</v>
      </c>
      <c r="BA38" s="2">
        <v>1</v>
      </c>
      <c r="BB38" s="2">
        <v>1</v>
      </c>
      <c r="BC38" s="2">
        <v>1</v>
      </c>
      <c r="BD38" s="2" t="s">
        <v>3</v>
      </c>
      <c r="BE38" s="2" t="s">
        <v>3</v>
      </c>
      <c r="BF38" s="2" t="s">
        <v>3</v>
      </c>
      <c r="BG38" s="2" t="s">
        <v>3</v>
      </c>
      <c r="BH38" s="2">
        <v>3</v>
      </c>
      <c r="BI38" s="2">
        <v>1</v>
      </c>
      <c r="BJ38" s="2" t="s">
        <v>69</v>
      </c>
      <c r="BK38" s="2"/>
      <c r="BL38" s="2"/>
      <c r="BM38" s="2">
        <v>46001</v>
      </c>
      <c r="BN38" s="2">
        <v>0</v>
      </c>
      <c r="BO38" s="2" t="s">
        <v>3</v>
      </c>
      <c r="BP38" s="2">
        <v>0</v>
      </c>
      <c r="BQ38" s="2">
        <v>2</v>
      </c>
      <c r="BR38" s="2">
        <v>0</v>
      </c>
      <c r="BS38" s="2">
        <v>1</v>
      </c>
      <c r="BT38" s="2">
        <v>1</v>
      </c>
      <c r="BU38" s="2">
        <v>1</v>
      </c>
      <c r="BV38" s="2">
        <v>1</v>
      </c>
      <c r="BW38" s="2">
        <v>1</v>
      </c>
      <c r="BX38" s="2">
        <v>1</v>
      </c>
      <c r="BY38" s="2" t="s">
        <v>3</v>
      </c>
      <c r="BZ38" s="2">
        <v>103</v>
      </c>
      <c r="CA38" s="2">
        <v>59</v>
      </c>
      <c r="CB38" s="2" t="s">
        <v>3</v>
      </c>
      <c r="CC38" s="2"/>
      <c r="CD38" s="2"/>
      <c r="CE38" s="2">
        <v>0</v>
      </c>
      <c r="CF38" s="2">
        <v>0</v>
      </c>
      <c r="CG38" s="2">
        <v>0</v>
      </c>
      <c r="CH38" s="2"/>
      <c r="CI38" s="2"/>
      <c r="CJ38" s="2"/>
      <c r="CK38" s="2"/>
      <c r="CL38" s="2"/>
      <c r="CM38" s="2">
        <v>0</v>
      </c>
      <c r="CN38" s="2" t="s">
        <v>3</v>
      </c>
      <c r="CO38" s="2">
        <v>0</v>
      </c>
      <c r="CP38" s="2">
        <f t="shared" si="37"/>
        <v>1258.98</v>
      </c>
      <c r="CQ38" s="2">
        <f t="shared" si="38"/>
        <v>839.32</v>
      </c>
      <c r="CR38" s="2">
        <f t="shared" si="60"/>
        <v>0</v>
      </c>
      <c r="CS38" s="2">
        <f t="shared" si="39"/>
        <v>0</v>
      </c>
      <c r="CT38" s="2">
        <f t="shared" si="40"/>
        <v>0</v>
      </c>
      <c r="CU38" s="2">
        <f t="shared" si="41"/>
        <v>0</v>
      </c>
      <c r="CV38" s="2">
        <f t="shared" si="42"/>
        <v>0</v>
      </c>
      <c r="CW38" s="2">
        <f t="shared" si="43"/>
        <v>0</v>
      </c>
      <c r="CX38" s="2">
        <f t="shared" si="44"/>
        <v>0</v>
      </c>
      <c r="CY38" s="2">
        <f t="shared" si="45"/>
        <v>0</v>
      </c>
      <c r="CZ38" s="2">
        <f t="shared" si="46"/>
        <v>0</v>
      </c>
      <c r="DA38" s="2"/>
      <c r="DB38" s="2"/>
      <c r="DC38" s="2" t="s">
        <v>3</v>
      </c>
      <c r="DD38" s="2" t="s">
        <v>3</v>
      </c>
      <c r="DE38" s="2" t="s">
        <v>3</v>
      </c>
      <c r="DF38" s="2" t="s">
        <v>3</v>
      </c>
      <c r="DG38" s="2" t="s">
        <v>3</v>
      </c>
      <c r="DH38" s="2" t="s">
        <v>3</v>
      </c>
      <c r="DI38" s="2" t="s">
        <v>3</v>
      </c>
      <c r="DJ38" s="2" t="s">
        <v>3</v>
      </c>
      <c r="DK38" s="2" t="s">
        <v>3</v>
      </c>
      <c r="DL38" s="2" t="s">
        <v>3</v>
      </c>
      <c r="DM38" s="2" t="s">
        <v>3</v>
      </c>
      <c r="DN38" s="2">
        <v>0</v>
      </c>
      <c r="DO38" s="2">
        <v>0</v>
      </c>
      <c r="DP38" s="2">
        <v>1</v>
      </c>
      <c r="DQ38" s="2">
        <v>1</v>
      </c>
      <c r="DR38" s="2"/>
      <c r="DS38" s="2"/>
      <c r="DT38" s="2"/>
      <c r="DU38" s="2">
        <v>1013</v>
      </c>
      <c r="DV38" s="2" t="s">
        <v>50</v>
      </c>
      <c r="DW38" s="2" t="s">
        <v>50</v>
      </c>
      <c r="DX38" s="2">
        <v>1</v>
      </c>
      <c r="DY38" s="2"/>
      <c r="DZ38" s="2" t="s">
        <v>3</v>
      </c>
      <c r="EA38" s="2" t="s">
        <v>3</v>
      </c>
      <c r="EB38" s="2" t="s">
        <v>3</v>
      </c>
      <c r="EC38" s="2" t="s">
        <v>3</v>
      </c>
      <c r="ED38" s="2"/>
      <c r="EE38" s="2">
        <v>55471764</v>
      </c>
      <c r="EF38" s="2">
        <v>2</v>
      </c>
      <c r="EG38" s="2" t="s">
        <v>31</v>
      </c>
      <c r="EH38" s="2">
        <v>40</v>
      </c>
      <c r="EI38" s="2" t="s">
        <v>61</v>
      </c>
      <c r="EJ38" s="2">
        <v>1</v>
      </c>
      <c r="EK38" s="2">
        <v>46001</v>
      </c>
      <c r="EL38" s="2" t="s">
        <v>62</v>
      </c>
      <c r="EM38" s="2" t="s">
        <v>63</v>
      </c>
      <c r="EN38" s="2"/>
      <c r="EO38" s="2" t="s">
        <v>3</v>
      </c>
      <c r="EP38" s="2"/>
      <c r="EQ38" s="2">
        <v>0</v>
      </c>
      <c r="ER38" s="2">
        <v>839.32</v>
      </c>
      <c r="ES38" s="2">
        <v>839.32</v>
      </c>
      <c r="ET38" s="2">
        <v>0</v>
      </c>
      <c r="EU38" s="2">
        <v>0</v>
      </c>
      <c r="EV38" s="2">
        <v>0</v>
      </c>
      <c r="EW38" s="2">
        <v>0</v>
      </c>
      <c r="EX38" s="2">
        <v>0</v>
      </c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>
        <v>0</v>
      </c>
      <c r="FR38" s="2">
        <f t="shared" si="47"/>
        <v>0</v>
      </c>
      <c r="FS38" s="2">
        <v>0</v>
      </c>
      <c r="FT38" s="2"/>
      <c r="FU38" s="2"/>
      <c r="FV38" s="2"/>
      <c r="FW38" s="2"/>
      <c r="FX38" s="2">
        <v>103</v>
      </c>
      <c r="FY38" s="2">
        <v>59</v>
      </c>
      <c r="FZ38" s="2"/>
      <c r="GA38" s="2" t="s">
        <v>3</v>
      </c>
      <c r="GB38" s="2"/>
      <c r="GC38" s="2"/>
      <c r="GD38" s="2">
        <v>1</v>
      </c>
      <c r="GE38" s="2"/>
      <c r="GF38" s="2">
        <v>1290926497</v>
      </c>
      <c r="GG38" s="2">
        <v>2</v>
      </c>
      <c r="GH38" s="2">
        <v>1</v>
      </c>
      <c r="GI38" s="2">
        <v>-2</v>
      </c>
      <c r="GJ38" s="2">
        <v>0</v>
      </c>
      <c r="GK38" s="2">
        <v>0</v>
      </c>
      <c r="GL38" s="2">
        <f t="shared" si="48"/>
        <v>0</v>
      </c>
      <c r="GM38" s="2">
        <f t="shared" si="49"/>
        <v>1258.98</v>
      </c>
      <c r="GN38" s="2">
        <f t="shared" si="50"/>
        <v>1258.98</v>
      </c>
      <c r="GO38" s="2">
        <f t="shared" si="51"/>
        <v>0</v>
      </c>
      <c r="GP38" s="2">
        <f t="shared" si="52"/>
        <v>0</v>
      </c>
      <c r="GQ38" s="2"/>
      <c r="GR38" s="2">
        <v>0</v>
      </c>
      <c r="GS38" s="2">
        <v>3</v>
      </c>
      <c r="GT38" s="2">
        <v>0</v>
      </c>
      <c r="GU38" s="2" t="s">
        <v>3</v>
      </c>
      <c r="GV38" s="2">
        <f t="shared" si="53"/>
        <v>0</v>
      </c>
      <c r="GW38" s="2">
        <v>1</v>
      </c>
      <c r="GX38" s="2">
        <f t="shared" si="54"/>
        <v>0</v>
      </c>
      <c r="GY38" s="2"/>
      <c r="GZ38" s="2"/>
      <c r="HA38" s="2">
        <v>0</v>
      </c>
      <c r="HB38" s="2">
        <v>0</v>
      </c>
      <c r="HC38" s="2">
        <f t="shared" si="55"/>
        <v>0</v>
      </c>
      <c r="HD38" s="2"/>
      <c r="HE38" s="2" t="s">
        <v>3</v>
      </c>
      <c r="HF38" s="2" t="s">
        <v>3</v>
      </c>
      <c r="HG38" s="2"/>
      <c r="HH38" s="2"/>
      <c r="HI38" s="2"/>
      <c r="HJ38" s="2"/>
      <c r="HK38" s="2"/>
      <c r="HL38" s="2"/>
      <c r="HM38" s="2" t="s">
        <v>3</v>
      </c>
      <c r="HN38" s="2" t="s">
        <v>64</v>
      </c>
      <c r="HO38" s="2" t="s">
        <v>65</v>
      </c>
      <c r="HP38" s="2" t="s">
        <v>62</v>
      </c>
      <c r="HQ38" s="2" t="s">
        <v>62</v>
      </c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>
        <v>0</v>
      </c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45" ht="12.75">
      <c r="A39">
        <v>18</v>
      </c>
      <c r="B39">
        <v>1</v>
      </c>
      <c r="C39">
        <v>42</v>
      </c>
      <c r="E39" t="s">
        <v>66</v>
      </c>
      <c r="F39" t="s">
        <v>67</v>
      </c>
      <c r="G39" t="s">
        <v>68</v>
      </c>
      <c r="H39" t="s">
        <v>50</v>
      </c>
      <c r="I39">
        <f>I37*J39</f>
        <v>1.5</v>
      </c>
      <c r="J39">
        <v>9.375</v>
      </c>
      <c r="K39">
        <v>9.375</v>
      </c>
      <c r="O39">
        <f t="shared" si="21"/>
        <v>8460.35</v>
      </c>
      <c r="P39">
        <f t="shared" si="22"/>
        <v>8460.35</v>
      </c>
      <c r="Q39">
        <f t="shared" si="23"/>
        <v>0</v>
      </c>
      <c r="R39">
        <f t="shared" si="24"/>
        <v>0</v>
      </c>
      <c r="S39">
        <f t="shared" si="25"/>
        <v>0</v>
      </c>
      <c r="T39">
        <f t="shared" si="26"/>
        <v>0</v>
      </c>
      <c r="U39">
        <f t="shared" si="27"/>
        <v>0</v>
      </c>
      <c r="V39">
        <f t="shared" si="28"/>
        <v>0</v>
      </c>
      <c r="W39">
        <f t="shared" si="29"/>
        <v>0</v>
      </c>
      <c r="X39">
        <f t="shared" si="30"/>
        <v>0</v>
      </c>
      <c r="Y39">
        <f t="shared" si="31"/>
        <v>0</v>
      </c>
      <c r="AA39">
        <v>55668704</v>
      </c>
      <c r="AB39">
        <f t="shared" si="32"/>
        <v>839.32</v>
      </c>
      <c r="AC39">
        <f t="shared" si="56"/>
        <v>839.32</v>
      </c>
      <c r="AD39">
        <f t="shared" si="57"/>
        <v>0</v>
      </c>
      <c r="AE39">
        <f t="shared" si="58"/>
        <v>0</v>
      </c>
      <c r="AF39">
        <f t="shared" si="58"/>
        <v>0</v>
      </c>
      <c r="AG39">
        <f t="shared" si="34"/>
        <v>0</v>
      </c>
      <c r="AH39">
        <f t="shared" si="59"/>
        <v>0</v>
      </c>
      <c r="AI39">
        <f t="shared" si="59"/>
        <v>0</v>
      </c>
      <c r="AJ39">
        <f t="shared" si="36"/>
        <v>0</v>
      </c>
      <c r="AK39">
        <v>839.32</v>
      </c>
      <c r="AL39">
        <v>839.32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103</v>
      </c>
      <c r="AU39">
        <v>59</v>
      </c>
      <c r="AV39">
        <v>1</v>
      </c>
      <c r="AW39">
        <v>1</v>
      </c>
      <c r="AZ39">
        <v>1</v>
      </c>
      <c r="BA39">
        <v>1</v>
      </c>
      <c r="BB39">
        <v>1</v>
      </c>
      <c r="BC39">
        <v>6.72</v>
      </c>
      <c r="BH39">
        <v>3</v>
      </c>
      <c r="BI39">
        <v>1</v>
      </c>
      <c r="BJ39" t="s">
        <v>69</v>
      </c>
      <c r="BM39">
        <v>46001</v>
      </c>
      <c r="BN39">
        <v>0</v>
      </c>
      <c r="BO39" t="s">
        <v>37</v>
      </c>
      <c r="BP39">
        <v>1</v>
      </c>
      <c r="BQ39">
        <v>2</v>
      </c>
      <c r="BR39">
        <v>0</v>
      </c>
      <c r="BS39">
        <v>1</v>
      </c>
      <c r="BT39">
        <v>1</v>
      </c>
      <c r="BU39">
        <v>1</v>
      </c>
      <c r="BV39">
        <v>1</v>
      </c>
      <c r="BW39">
        <v>1</v>
      </c>
      <c r="BX39">
        <v>1</v>
      </c>
      <c r="BZ39">
        <v>103</v>
      </c>
      <c r="CA39">
        <v>59</v>
      </c>
      <c r="CE39">
        <v>0</v>
      </c>
      <c r="CF39">
        <v>0</v>
      </c>
      <c r="CG39">
        <v>0</v>
      </c>
      <c r="CM39">
        <v>0</v>
      </c>
      <c r="CO39">
        <v>0</v>
      </c>
      <c r="CP39">
        <f t="shared" si="37"/>
        <v>8460.35</v>
      </c>
      <c r="CQ39">
        <f t="shared" si="38"/>
        <v>5640.2304</v>
      </c>
      <c r="CR39">
        <f t="shared" si="60"/>
        <v>0</v>
      </c>
      <c r="CS39">
        <f t="shared" si="39"/>
        <v>0</v>
      </c>
      <c r="CT39">
        <f t="shared" si="40"/>
        <v>0</v>
      </c>
      <c r="CU39">
        <f t="shared" si="41"/>
        <v>0</v>
      </c>
      <c r="CV39">
        <f t="shared" si="42"/>
        <v>0</v>
      </c>
      <c r="CW39">
        <f t="shared" si="43"/>
        <v>0</v>
      </c>
      <c r="CX39">
        <f t="shared" si="44"/>
        <v>0</v>
      </c>
      <c r="CY39">
        <f t="shared" si="45"/>
        <v>0</v>
      </c>
      <c r="CZ39">
        <f t="shared" si="46"/>
        <v>0</v>
      </c>
      <c r="DN39">
        <v>0</v>
      </c>
      <c r="DO39">
        <v>0</v>
      </c>
      <c r="DP39">
        <v>1</v>
      </c>
      <c r="DQ39">
        <v>1</v>
      </c>
      <c r="DU39">
        <v>1013</v>
      </c>
      <c r="DV39" t="s">
        <v>50</v>
      </c>
      <c r="DW39" t="s">
        <v>50</v>
      </c>
      <c r="DX39">
        <v>1</v>
      </c>
      <c r="EE39">
        <v>55471764</v>
      </c>
      <c r="EF39">
        <v>2</v>
      </c>
      <c r="EG39" t="s">
        <v>31</v>
      </c>
      <c r="EH39">
        <v>40</v>
      </c>
      <c r="EI39" t="s">
        <v>61</v>
      </c>
      <c r="EJ39">
        <v>1</v>
      </c>
      <c r="EK39">
        <v>46001</v>
      </c>
      <c r="EL39" t="s">
        <v>62</v>
      </c>
      <c r="EM39" t="s">
        <v>63</v>
      </c>
      <c r="EQ39">
        <v>0</v>
      </c>
      <c r="ER39">
        <v>839.32</v>
      </c>
      <c r="ES39">
        <v>839.32</v>
      </c>
      <c r="ET39">
        <v>0</v>
      </c>
      <c r="EU39">
        <v>0</v>
      </c>
      <c r="EV39">
        <v>0</v>
      </c>
      <c r="EW39">
        <v>0</v>
      </c>
      <c r="EX39">
        <v>0</v>
      </c>
      <c r="FQ39">
        <v>0</v>
      </c>
      <c r="FR39">
        <f t="shared" si="47"/>
        <v>0</v>
      </c>
      <c r="FS39">
        <v>0</v>
      </c>
      <c r="FX39">
        <v>103</v>
      </c>
      <c r="FY39">
        <v>59</v>
      </c>
      <c r="GD39">
        <v>1</v>
      </c>
      <c r="GF39">
        <v>1290926497</v>
      </c>
      <c r="GG39">
        <v>2</v>
      </c>
      <c r="GH39">
        <v>1</v>
      </c>
      <c r="GI39">
        <v>4</v>
      </c>
      <c r="GJ39">
        <v>0</v>
      </c>
      <c r="GK39">
        <v>0</v>
      </c>
      <c r="GL39">
        <f t="shared" si="48"/>
        <v>0</v>
      </c>
      <c r="GM39">
        <f t="shared" si="49"/>
        <v>8460.35</v>
      </c>
      <c r="GN39">
        <f t="shared" si="50"/>
        <v>8460.35</v>
      </c>
      <c r="GO39">
        <f t="shared" si="51"/>
        <v>0</v>
      </c>
      <c r="GP39">
        <f t="shared" si="52"/>
        <v>0</v>
      </c>
      <c r="GR39">
        <v>0</v>
      </c>
      <c r="GS39">
        <v>3</v>
      </c>
      <c r="GT39">
        <v>0</v>
      </c>
      <c r="GV39">
        <f t="shared" si="53"/>
        <v>0</v>
      </c>
      <c r="GW39">
        <v>1</v>
      </c>
      <c r="GX39">
        <f t="shared" si="54"/>
        <v>0</v>
      </c>
      <c r="HA39">
        <v>0</v>
      </c>
      <c r="HB39">
        <v>0</v>
      </c>
      <c r="HC39">
        <f t="shared" si="55"/>
        <v>0</v>
      </c>
      <c r="HN39" t="s">
        <v>64</v>
      </c>
      <c r="HO39" t="s">
        <v>65</v>
      </c>
      <c r="HP39" t="s">
        <v>62</v>
      </c>
      <c r="HQ39" t="s">
        <v>62</v>
      </c>
      <c r="IK39">
        <v>0</v>
      </c>
    </row>
    <row r="40" spans="1:255" ht="12.75">
      <c r="A40" s="2">
        <v>17</v>
      </c>
      <c r="B40" s="2">
        <v>1</v>
      </c>
      <c r="C40" s="2">
        <f>ROW(SmtRes!A48)</f>
        <v>48</v>
      </c>
      <c r="D40" s="2">
        <f>ROW(EtalonRes!A56)</f>
        <v>56</v>
      </c>
      <c r="E40" s="2" t="s">
        <v>70</v>
      </c>
      <c r="F40" s="2" t="s">
        <v>39</v>
      </c>
      <c r="G40" s="2" t="s">
        <v>71</v>
      </c>
      <c r="H40" s="2" t="s">
        <v>41</v>
      </c>
      <c r="I40" s="2">
        <v>0.01</v>
      </c>
      <c r="J40" s="2">
        <v>0</v>
      </c>
      <c r="K40" s="2">
        <v>0.01</v>
      </c>
      <c r="L40" s="2"/>
      <c r="M40" s="2"/>
      <c r="N40" s="2"/>
      <c r="O40" s="2">
        <f t="shared" si="21"/>
        <v>131.12</v>
      </c>
      <c r="P40" s="2">
        <f t="shared" si="22"/>
        <v>101.03</v>
      </c>
      <c r="Q40" s="2">
        <f t="shared" si="23"/>
        <v>0.64</v>
      </c>
      <c r="R40" s="2">
        <f t="shared" si="24"/>
        <v>0.09</v>
      </c>
      <c r="S40" s="2">
        <f t="shared" si="25"/>
        <v>29.45</v>
      </c>
      <c r="T40" s="2">
        <f t="shared" si="26"/>
        <v>0</v>
      </c>
      <c r="U40" s="2">
        <f t="shared" si="27"/>
        <v>3.3234999999999997</v>
      </c>
      <c r="V40" s="2">
        <f t="shared" si="28"/>
        <v>0.007375</v>
      </c>
      <c r="W40" s="2">
        <f t="shared" si="29"/>
        <v>0</v>
      </c>
      <c r="X40" s="2">
        <f t="shared" si="30"/>
        <v>30.13</v>
      </c>
      <c r="Y40" s="2">
        <f t="shared" si="31"/>
        <v>14.56</v>
      </c>
      <c r="Z40" s="2"/>
      <c r="AA40" s="2">
        <v>55668703</v>
      </c>
      <c r="AB40" s="2">
        <f t="shared" si="32"/>
        <v>13112.07</v>
      </c>
      <c r="AC40" s="2">
        <f t="shared" si="56"/>
        <v>10103.46</v>
      </c>
      <c r="AD40" s="2">
        <f>ROUND(((((ET40*ROUND(1.25,7)))-((EU40*ROUND(1.25,7))))+AE40),2)</f>
        <v>63.99</v>
      </c>
      <c r="AE40" s="2">
        <f>ROUND(((EU40*ROUND(1.25,7))),2)</f>
        <v>9.15</v>
      </c>
      <c r="AF40" s="2">
        <f>ROUND(((EV40*ROUND(1.15,7))),2)</f>
        <v>2944.62</v>
      </c>
      <c r="AG40" s="2">
        <f t="shared" si="34"/>
        <v>0</v>
      </c>
      <c r="AH40" s="2">
        <f>((EW40*ROUND(1.15,7)))</f>
        <v>332.34999999999997</v>
      </c>
      <c r="AI40" s="2">
        <f>((EX40*ROUND(1.25,7)))</f>
        <v>0.7374999999999999</v>
      </c>
      <c r="AJ40" s="2">
        <f t="shared" si="36"/>
        <v>0</v>
      </c>
      <c r="AK40" s="2">
        <v>12715.19</v>
      </c>
      <c r="AL40" s="2">
        <v>10103.46</v>
      </c>
      <c r="AM40" s="2">
        <v>51.19</v>
      </c>
      <c r="AN40" s="2">
        <v>7.32</v>
      </c>
      <c r="AO40" s="2">
        <v>2560.54</v>
      </c>
      <c r="AP40" s="2">
        <v>0</v>
      </c>
      <c r="AQ40" s="2">
        <v>289</v>
      </c>
      <c r="AR40" s="2">
        <v>0.59</v>
      </c>
      <c r="AS40" s="2">
        <v>0</v>
      </c>
      <c r="AT40" s="2">
        <v>102</v>
      </c>
      <c r="AU40" s="2">
        <v>49.3</v>
      </c>
      <c r="AV40" s="2">
        <v>1</v>
      </c>
      <c r="AW40" s="2">
        <v>1</v>
      </c>
      <c r="AX40" s="2"/>
      <c r="AY40" s="2"/>
      <c r="AZ40" s="2">
        <v>1</v>
      </c>
      <c r="BA40" s="2">
        <v>1</v>
      </c>
      <c r="BB40" s="2">
        <v>1</v>
      </c>
      <c r="BC40" s="2">
        <v>1</v>
      </c>
      <c r="BD40" s="2" t="s">
        <v>3</v>
      </c>
      <c r="BE40" s="2" t="s">
        <v>3</v>
      </c>
      <c r="BF40" s="2" t="s">
        <v>3</v>
      </c>
      <c r="BG40" s="2" t="s">
        <v>3</v>
      </c>
      <c r="BH40" s="2">
        <v>0</v>
      </c>
      <c r="BI40" s="2">
        <v>1</v>
      </c>
      <c r="BJ40" s="2" t="s">
        <v>42</v>
      </c>
      <c r="BK40" s="2"/>
      <c r="BL40" s="2"/>
      <c r="BM40" s="2">
        <v>6001</v>
      </c>
      <c r="BN40" s="2">
        <v>0</v>
      </c>
      <c r="BO40" s="2" t="s">
        <v>3</v>
      </c>
      <c r="BP40" s="2">
        <v>0</v>
      </c>
      <c r="BQ40" s="2">
        <v>2</v>
      </c>
      <c r="BR40" s="2">
        <v>0</v>
      </c>
      <c r="BS40" s="2">
        <v>1</v>
      </c>
      <c r="BT40" s="2">
        <v>1</v>
      </c>
      <c r="BU40" s="2">
        <v>1</v>
      </c>
      <c r="BV40" s="2">
        <v>1</v>
      </c>
      <c r="BW40" s="2">
        <v>1</v>
      </c>
      <c r="BX40" s="2">
        <v>1</v>
      </c>
      <c r="BY40" s="2" t="s">
        <v>3</v>
      </c>
      <c r="BZ40" s="2">
        <v>102</v>
      </c>
      <c r="CA40" s="2">
        <v>58</v>
      </c>
      <c r="CB40" s="2" t="s">
        <v>3</v>
      </c>
      <c r="CC40" s="2"/>
      <c r="CD40" s="2"/>
      <c r="CE40" s="2">
        <v>0</v>
      </c>
      <c r="CF40" s="2">
        <v>0</v>
      </c>
      <c r="CG40" s="2">
        <v>0</v>
      </c>
      <c r="CH40" s="2"/>
      <c r="CI40" s="2"/>
      <c r="CJ40" s="2"/>
      <c r="CK40" s="2"/>
      <c r="CL40" s="2"/>
      <c r="CM40" s="2">
        <v>0</v>
      </c>
      <c r="CN40" s="2" t="s">
        <v>385</v>
      </c>
      <c r="CO40" s="2">
        <v>0</v>
      </c>
      <c r="CP40" s="2">
        <f t="shared" si="37"/>
        <v>131.12</v>
      </c>
      <c r="CQ40" s="2">
        <f t="shared" si="38"/>
        <v>10103.46</v>
      </c>
      <c r="CR40" s="2">
        <f>((((ET40*ROUND(1.25,7)))*BB40-((EU40*ROUND(1.25,7)))*BS40)+AE40*BS40)</f>
        <v>63.9875</v>
      </c>
      <c r="CS40" s="2">
        <f t="shared" si="39"/>
        <v>9.15</v>
      </c>
      <c r="CT40" s="2">
        <f t="shared" si="40"/>
        <v>2944.62</v>
      </c>
      <c r="CU40" s="2">
        <f t="shared" si="41"/>
        <v>0</v>
      </c>
      <c r="CV40" s="2">
        <f t="shared" si="42"/>
        <v>332.34999999999997</v>
      </c>
      <c r="CW40" s="2">
        <f t="shared" si="43"/>
        <v>0.7374999999999999</v>
      </c>
      <c r="CX40" s="2">
        <f t="shared" si="44"/>
        <v>0</v>
      </c>
      <c r="CY40" s="2">
        <f t="shared" si="45"/>
        <v>30.1308</v>
      </c>
      <c r="CZ40" s="2">
        <f t="shared" si="46"/>
        <v>14.56322</v>
      </c>
      <c r="DA40" s="2"/>
      <c r="DB40" s="2"/>
      <c r="DC40" s="2" t="s">
        <v>3</v>
      </c>
      <c r="DD40" s="2" t="s">
        <v>3</v>
      </c>
      <c r="DE40" s="2" t="s">
        <v>72</v>
      </c>
      <c r="DF40" s="2" t="s">
        <v>72</v>
      </c>
      <c r="DG40" s="2" t="s">
        <v>73</v>
      </c>
      <c r="DH40" s="2" t="s">
        <v>3</v>
      </c>
      <c r="DI40" s="2" t="s">
        <v>73</v>
      </c>
      <c r="DJ40" s="2" t="s">
        <v>72</v>
      </c>
      <c r="DK40" s="2" t="s">
        <v>3</v>
      </c>
      <c r="DL40" s="2" t="s">
        <v>3</v>
      </c>
      <c r="DM40" s="2" t="s">
        <v>74</v>
      </c>
      <c r="DN40" s="2">
        <v>0</v>
      </c>
      <c r="DO40" s="2">
        <v>0</v>
      </c>
      <c r="DP40" s="2">
        <v>1</v>
      </c>
      <c r="DQ40" s="2">
        <v>1</v>
      </c>
      <c r="DR40" s="2"/>
      <c r="DS40" s="2"/>
      <c r="DT40" s="2"/>
      <c r="DU40" s="2">
        <v>1009</v>
      </c>
      <c r="DV40" s="2" t="s">
        <v>41</v>
      </c>
      <c r="DW40" s="2" t="s">
        <v>41</v>
      </c>
      <c r="DX40" s="2">
        <v>1000</v>
      </c>
      <c r="DY40" s="2"/>
      <c r="DZ40" s="2" t="s">
        <v>3</v>
      </c>
      <c r="EA40" s="2" t="s">
        <v>3</v>
      </c>
      <c r="EB40" s="2" t="s">
        <v>3</v>
      </c>
      <c r="EC40" s="2" t="s">
        <v>3</v>
      </c>
      <c r="ED40" s="2"/>
      <c r="EE40" s="2">
        <v>55471642</v>
      </c>
      <c r="EF40" s="2">
        <v>2</v>
      </c>
      <c r="EG40" s="2" t="s">
        <v>31</v>
      </c>
      <c r="EH40" s="2">
        <v>6</v>
      </c>
      <c r="EI40" s="2" t="s">
        <v>43</v>
      </c>
      <c r="EJ40" s="2">
        <v>1</v>
      </c>
      <c r="EK40" s="2">
        <v>6001</v>
      </c>
      <c r="EL40" s="2" t="s">
        <v>43</v>
      </c>
      <c r="EM40" s="2" t="s">
        <v>44</v>
      </c>
      <c r="EN40" s="2"/>
      <c r="EO40" s="2" t="s">
        <v>75</v>
      </c>
      <c r="EP40" s="2"/>
      <c r="EQ40" s="2">
        <v>0</v>
      </c>
      <c r="ER40" s="2">
        <v>12715.19</v>
      </c>
      <c r="ES40" s="2">
        <v>10103.46</v>
      </c>
      <c r="ET40" s="2">
        <v>51.19</v>
      </c>
      <c r="EU40" s="2">
        <v>7.32</v>
      </c>
      <c r="EV40" s="2">
        <v>2560.54</v>
      </c>
      <c r="EW40" s="2">
        <v>289</v>
      </c>
      <c r="EX40" s="2">
        <v>0.59</v>
      </c>
      <c r="EY40" s="2">
        <v>0</v>
      </c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>
        <v>0</v>
      </c>
      <c r="FR40" s="2">
        <f t="shared" si="47"/>
        <v>0</v>
      </c>
      <c r="FS40" s="2">
        <v>0</v>
      </c>
      <c r="FT40" s="2"/>
      <c r="FU40" s="2"/>
      <c r="FV40" s="2"/>
      <c r="FW40" s="2"/>
      <c r="FX40" s="2">
        <v>102</v>
      </c>
      <c r="FY40" s="2">
        <v>49.3</v>
      </c>
      <c r="FZ40" s="2"/>
      <c r="GA40" s="2" t="s">
        <v>3</v>
      </c>
      <c r="GB40" s="2"/>
      <c r="GC40" s="2"/>
      <c r="GD40" s="2">
        <v>1</v>
      </c>
      <c r="GE40" s="2"/>
      <c r="GF40" s="2">
        <v>480676255</v>
      </c>
      <c r="GG40" s="2">
        <v>2</v>
      </c>
      <c r="GH40" s="2">
        <v>1</v>
      </c>
      <c r="GI40" s="2">
        <v>-2</v>
      </c>
      <c r="GJ40" s="2">
        <v>0</v>
      </c>
      <c r="GK40" s="2">
        <v>0</v>
      </c>
      <c r="GL40" s="2">
        <f t="shared" si="48"/>
        <v>0</v>
      </c>
      <c r="GM40" s="2">
        <f t="shared" si="49"/>
        <v>175.81</v>
      </c>
      <c r="GN40" s="2">
        <f t="shared" si="50"/>
        <v>175.81</v>
      </c>
      <c r="GO40" s="2">
        <f t="shared" si="51"/>
        <v>0</v>
      </c>
      <c r="GP40" s="2">
        <f t="shared" si="52"/>
        <v>0</v>
      </c>
      <c r="GQ40" s="2"/>
      <c r="GR40" s="2">
        <v>0</v>
      </c>
      <c r="GS40" s="2">
        <v>3</v>
      </c>
      <c r="GT40" s="2">
        <v>0</v>
      </c>
      <c r="GU40" s="2" t="s">
        <v>3</v>
      </c>
      <c r="GV40" s="2">
        <f t="shared" si="53"/>
        <v>0</v>
      </c>
      <c r="GW40" s="2">
        <v>1</v>
      </c>
      <c r="GX40" s="2">
        <f t="shared" si="54"/>
        <v>0</v>
      </c>
      <c r="GY40" s="2"/>
      <c r="GZ40" s="2"/>
      <c r="HA40" s="2">
        <v>0</v>
      </c>
      <c r="HB40" s="2">
        <v>0</v>
      </c>
      <c r="HC40" s="2">
        <f t="shared" si="55"/>
        <v>0</v>
      </c>
      <c r="HD40" s="2"/>
      <c r="HE40" s="2" t="s">
        <v>3</v>
      </c>
      <c r="HF40" s="2" t="s">
        <v>3</v>
      </c>
      <c r="HG40" s="2"/>
      <c r="HH40" s="2"/>
      <c r="HI40" s="2"/>
      <c r="HJ40" s="2"/>
      <c r="HK40" s="2"/>
      <c r="HL40" s="2"/>
      <c r="HM40" s="2" t="s">
        <v>3</v>
      </c>
      <c r="HN40" s="2" t="s">
        <v>45</v>
      </c>
      <c r="HO40" s="2" t="s">
        <v>46</v>
      </c>
      <c r="HP40" s="2" t="s">
        <v>43</v>
      </c>
      <c r="HQ40" s="2" t="s">
        <v>43</v>
      </c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>
        <v>0</v>
      </c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pans="1:245" ht="12.75">
      <c r="A41">
        <v>17</v>
      </c>
      <c r="B41">
        <v>1</v>
      </c>
      <c r="C41">
        <f>ROW(SmtRes!A54)</f>
        <v>54</v>
      </c>
      <c r="D41">
        <f>ROW(EtalonRes!A62)</f>
        <v>62</v>
      </c>
      <c r="E41" t="s">
        <v>70</v>
      </c>
      <c r="F41" t="s">
        <v>39</v>
      </c>
      <c r="G41" t="s">
        <v>71</v>
      </c>
      <c r="H41" t="s">
        <v>41</v>
      </c>
      <c r="I41">
        <v>0.01</v>
      </c>
      <c r="J41">
        <v>0</v>
      </c>
      <c r="K41">
        <v>0.01</v>
      </c>
      <c r="O41">
        <f t="shared" si="21"/>
        <v>1786.94</v>
      </c>
      <c r="P41">
        <f t="shared" si="22"/>
        <v>678.95</v>
      </c>
      <c r="Q41">
        <f t="shared" si="23"/>
        <v>8.47</v>
      </c>
      <c r="R41">
        <f t="shared" si="24"/>
        <v>3.42</v>
      </c>
      <c r="S41">
        <f t="shared" si="25"/>
        <v>1099.52</v>
      </c>
      <c r="T41">
        <f t="shared" si="26"/>
        <v>0</v>
      </c>
      <c r="U41">
        <f t="shared" si="27"/>
        <v>3.3234999999999997</v>
      </c>
      <c r="V41">
        <f t="shared" si="28"/>
        <v>0.007375</v>
      </c>
      <c r="W41">
        <f t="shared" si="29"/>
        <v>0</v>
      </c>
      <c r="X41">
        <f t="shared" si="30"/>
        <v>1125</v>
      </c>
      <c r="Y41">
        <f t="shared" si="31"/>
        <v>543.75</v>
      </c>
      <c r="AA41">
        <v>55668704</v>
      </c>
      <c r="AB41">
        <f t="shared" si="32"/>
        <v>13112.07</v>
      </c>
      <c r="AC41">
        <f t="shared" si="56"/>
        <v>10103.46</v>
      </c>
      <c r="AD41">
        <f>ROUND(((((ET41*ROUND(1.25,7)))-((EU41*ROUND(1.25,7))))+AE41),2)</f>
        <v>63.99</v>
      </c>
      <c r="AE41">
        <f>ROUND(((EU41*ROUND(1.25,7))),2)</f>
        <v>9.15</v>
      </c>
      <c r="AF41">
        <f>ROUND(((EV41*ROUND(1.15,7))),2)</f>
        <v>2944.62</v>
      </c>
      <c r="AG41">
        <f t="shared" si="34"/>
        <v>0</v>
      </c>
      <c r="AH41">
        <f>((EW41*ROUND(1.15,7)))</f>
        <v>332.34999999999997</v>
      </c>
      <c r="AI41">
        <f>((EX41*ROUND(1.25,7)))</f>
        <v>0.7374999999999999</v>
      </c>
      <c r="AJ41">
        <f t="shared" si="36"/>
        <v>0</v>
      </c>
      <c r="AK41">
        <v>12715.19</v>
      </c>
      <c r="AL41">
        <v>10103.46</v>
      </c>
      <c r="AM41">
        <v>51.19</v>
      </c>
      <c r="AN41">
        <v>7.32</v>
      </c>
      <c r="AO41">
        <v>2560.54</v>
      </c>
      <c r="AP41">
        <v>0</v>
      </c>
      <c r="AQ41">
        <v>289</v>
      </c>
      <c r="AR41">
        <v>0.59</v>
      </c>
      <c r="AS41">
        <v>0</v>
      </c>
      <c r="AT41">
        <v>102</v>
      </c>
      <c r="AU41">
        <v>49.3</v>
      </c>
      <c r="AV41">
        <v>1</v>
      </c>
      <c r="AW41">
        <v>1</v>
      </c>
      <c r="AZ41">
        <v>1</v>
      </c>
      <c r="BA41">
        <v>37.34</v>
      </c>
      <c r="BB41">
        <v>13.24</v>
      </c>
      <c r="BC41">
        <v>6.72</v>
      </c>
      <c r="BH41">
        <v>0</v>
      </c>
      <c r="BI41">
        <v>1</v>
      </c>
      <c r="BJ41" t="s">
        <v>42</v>
      </c>
      <c r="BM41">
        <v>6001</v>
      </c>
      <c r="BN41">
        <v>0</v>
      </c>
      <c r="BO41" t="s">
        <v>37</v>
      </c>
      <c r="BP41">
        <v>1</v>
      </c>
      <c r="BQ41">
        <v>2</v>
      </c>
      <c r="BR41">
        <v>0</v>
      </c>
      <c r="BS41">
        <v>37.34</v>
      </c>
      <c r="BT41">
        <v>1</v>
      </c>
      <c r="BU41">
        <v>1</v>
      </c>
      <c r="BV41">
        <v>1</v>
      </c>
      <c r="BW41">
        <v>1</v>
      </c>
      <c r="BX41">
        <v>1</v>
      </c>
      <c r="BZ41">
        <v>102</v>
      </c>
      <c r="CA41">
        <v>58</v>
      </c>
      <c r="CE41">
        <v>0</v>
      </c>
      <c r="CF41">
        <v>0</v>
      </c>
      <c r="CG41">
        <v>0</v>
      </c>
      <c r="CM41">
        <v>0</v>
      </c>
      <c r="CN41" t="s">
        <v>385</v>
      </c>
      <c r="CO41">
        <v>0</v>
      </c>
      <c r="CP41">
        <f t="shared" si="37"/>
        <v>1786.94</v>
      </c>
      <c r="CQ41">
        <f t="shared" si="38"/>
        <v>67895.2512</v>
      </c>
      <c r="CR41">
        <f>((((ET41*ROUND(1.25,7)))*BB41-((EU41*ROUND(1.25,7)))*BS41)+AE41*BS41)</f>
        <v>847.1945</v>
      </c>
      <c r="CS41">
        <f t="shared" si="39"/>
        <v>341.66100000000006</v>
      </c>
      <c r="CT41">
        <f t="shared" si="40"/>
        <v>109952.11080000001</v>
      </c>
      <c r="CU41">
        <f t="shared" si="41"/>
        <v>0</v>
      </c>
      <c r="CV41">
        <f t="shared" si="42"/>
        <v>332.34999999999997</v>
      </c>
      <c r="CW41">
        <f t="shared" si="43"/>
        <v>0.7374999999999999</v>
      </c>
      <c r="CX41">
        <f t="shared" si="44"/>
        <v>0</v>
      </c>
      <c r="CY41">
        <f t="shared" si="45"/>
        <v>1124.9988</v>
      </c>
      <c r="CZ41">
        <f t="shared" si="46"/>
        <v>543.74942</v>
      </c>
      <c r="DE41" t="s">
        <v>72</v>
      </c>
      <c r="DF41" t="s">
        <v>72</v>
      </c>
      <c r="DG41" t="s">
        <v>73</v>
      </c>
      <c r="DI41" t="s">
        <v>73</v>
      </c>
      <c r="DJ41" t="s">
        <v>72</v>
      </c>
      <c r="DM41" t="s">
        <v>74</v>
      </c>
      <c r="DN41">
        <v>0</v>
      </c>
      <c r="DO41">
        <v>0</v>
      </c>
      <c r="DP41">
        <v>1</v>
      </c>
      <c r="DQ41">
        <v>1</v>
      </c>
      <c r="DU41">
        <v>1009</v>
      </c>
      <c r="DV41" t="s">
        <v>41</v>
      </c>
      <c r="DW41" t="s">
        <v>41</v>
      </c>
      <c r="DX41">
        <v>1000</v>
      </c>
      <c r="EE41">
        <v>55471642</v>
      </c>
      <c r="EF41">
        <v>2</v>
      </c>
      <c r="EG41" t="s">
        <v>31</v>
      </c>
      <c r="EH41">
        <v>6</v>
      </c>
      <c r="EI41" t="s">
        <v>43</v>
      </c>
      <c r="EJ41">
        <v>1</v>
      </c>
      <c r="EK41">
        <v>6001</v>
      </c>
      <c r="EL41" t="s">
        <v>43</v>
      </c>
      <c r="EM41" t="s">
        <v>44</v>
      </c>
      <c r="EO41" t="s">
        <v>75</v>
      </c>
      <c r="EQ41">
        <v>0</v>
      </c>
      <c r="ER41">
        <v>12715.19</v>
      </c>
      <c r="ES41">
        <v>10103.46</v>
      </c>
      <c r="ET41">
        <v>51.19</v>
      </c>
      <c r="EU41">
        <v>7.32</v>
      </c>
      <c r="EV41">
        <v>2560.54</v>
      </c>
      <c r="EW41">
        <v>289</v>
      </c>
      <c r="EX41">
        <v>0.59</v>
      </c>
      <c r="EY41">
        <v>0</v>
      </c>
      <c r="FQ41">
        <v>0</v>
      </c>
      <c r="FR41">
        <f t="shared" si="47"/>
        <v>0</v>
      </c>
      <c r="FS41">
        <v>0</v>
      </c>
      <c r="FX41">
        <v>102</v>
      </c>
      <c r="FY41">
        <v>49.3</v>
      </c>
      <c r="GD41">
        <v>1</v>
      </c>
      <c r="GF41">
        <v>480676255</v>
      </c>
      <c r="GG41">
        <v>2</v>
      </c>
      <c r="GH41">
        <v>1</v>
      </c>
      <c r="GI41">
        <v>4</v>
      </c>
      <c r="GJ41">
        <v>0</v>
      </c>
      <c r="GK41">
        <v>0</v>
      </c>
      <c r="GL41">
        <f t="shared" si="48"/>
        <v>0</v>
      </c>
      <c r="GM41">
        <f t="shared" si="49"/>
        <v>3455.69</v>
      </c>
      <c r="GN41">
        <f t="shared" si="50"/>
        <v>3455.69</v>
      </c>
      <c r="GO41">
        <f t="shared" si="51"/>
        <v>0</v>
      </c>
      <c r="GP41">
        <f t="shared" si="52"/>
        <v>0</v>
      </c>
      <c r="GR41">
        <v>0</v>
      </c>
      <c r="GS41">
        <v>3</v>
      </c>
      <c r="GT41">
        <v>0</v>
      </c>
      <c r="GV41">
        <f t="shared" si="53"/>
        <v>0</v>
      </c>
      <c r="GW41">
        <v>1</v>
      </c>
      <c r="GX41">
        <f t="shared" si="54"/>
        <v>0</v>
      </c>
      <c r="HA41">
        <v>0</v>
      </c>
      <c r="HB41">
        <v>0</v>
      </c>
      <c r="HC41">
        <f t="shared" si="55"/>
        <v>0</v>
      </c>
      <c r="HN41" t="s">
        <v>45</v>
      </c>
      <c r="HO41" t="s">
        <v>46</v>
      </c>
      <c r="HP41" t="s">
        <v>43</v>
      </c>
      <c r="HQ41" t="s">
        <v>43</v>
      </c>
      <c r="IK41">
        <v>0</v>
      </c>
    </row>
    <row r="42" spans="1:255" ht="12.75">
      <c r="A42" s="2">
        <v>17</v>
      </c>
      <c r="B42" s="2">
        <v>1</v>
      </c>
      <c r="C42" s="2">
        <f>ROW(SmtRes!A65)</f>
        <v>65</v>
      </c>
      <c r="D42" s="2">
        <f>ROW(EtalonRes!A75)</f>
        <v>75</v>
      </c>
      <c r="E42" s="2" t="s">
        <v>76</v>
      </c>
      <c r="F42" s="2" t="s">
        <v>24</v>
      </c>
      <c r="G42" s="2" t="s">
        <v>77</v>
      </c>
      <c r="H42" s="2" t="s">
        <v>26</v>
      </c>
      <c r="I42" s="2">
        <f>ROUND(25.9/100,7)</f>
        <v>0.259</v>
      </c>
      <c r="J42" s="2">
        <v>0</v>
      </c>
      <c r="K42" s="2">
        <f>ROUND(25.9/100,7)</f>
        <v>0.259</v>
      </c>
      <c r="L42" s="2"/>
      <c r="M42" s="2"/>
      <c r="N42" s="2"/>
      <c r="O42" s="2">
        <f t="shared" si="21"/>
        <v>1150.59</v>
      </c>
      <c r="P42" s="2">
        <f t="shared" si="22"/>
        <v>71.45</v>
      </c>
      <c r="Q42" s="2">
        <f t="shared" si="23"/>
        <v>186.22</v>
      </c>
      <c r="R42" s="2">
        <f t="shared" si="24"/>
        <v>10.67</v>
      </c>
      <c r="S42" s="2">
        <f t="shared" si="25"/>
        <v>892.92</v>
      </c>
      <c r="T42" s="2">
        <f t="shared" si="26"/>
        <v>0</v>
      </c>
      <c r="U42" s="2">
        <f t="shared" si="27"/>
        <v>88.7593</v>
      </c>
      <c r="V42" s="2">
        <f t="shared" si="28"/>
        <v>0.8029000000000001</v>
      </c>
      <c r="W42" s="2">
        <f t="shared" si="29"/>
        <v>0</v>
      </c>
      <c r="X42" s="2">
        <f t="shared" si="30"/>
        <v>840.34</v>
      </c>
      <c r="Y42" s="2">
        <f t="shared" si="31"/>
        <v>476.19</v>
      </c>
      <c r="Z42" s="2"/>
      <c r="AA42" s="2">
        <v>55668703</v>
      </c>
      <c r="AB42" s="2">
        <f t="shared" si="32"/>
        <v>4442.43</v>
      </c>
      <c r="AC42" s="2">
        <f t="shared" si="56"/>
        <v>275.88</v>
      </c>
      <c r="AD42" s="2">
        <f>ROUND(((((ET42*ROUND(1.25,7)))-((EU42*ROUND(1.25,7))))+AE42),2)</f>
        <v>718.99</v>
      </c>
      <c r="AE42" s="2">
        <f>ROUND(((EU42*ROUND(1.25,7))),2)</f>
        <v>41.19</v>
      </c>
      <c r="AF42" s="2">
        <f>ROUND(((EV42*ROUND(1.15,7))),2)</f>
        <v>3447.56</v>
      </c>
      <c r="AG42" s="2">
        <f t="shared" si="34"/>
        <v>0</v>
      </c>
      <c r="AH42" s="2">
        <f>((EW42*ROUND(1.15,7)))</f>
        <v>342.7</v>
      </c>
      <c r="AI42" s="2">
        <f>((EX42*ROUND(1.25,7)))</f>
        <v>3.1</v>
      </c>
      <c r="AJ42" s="2">
        <f t="shared" si="36"/>
        <v>0</v>
      </c>
      <c r="AK42" s="2">
        <v>3848.95</v>
      </c>
      <c r="AL42" s="2">
        <v>275.88</v>
      </c>
      <c r="AM42" s="2">
        <v>575.19</v>
      </c>
      <c r="AN42" s="2">
        <v>32.95</v>
      </c>
      <c r="AO42" s="2">
        <v>2997.88</v>
      </c>
      <c r="AP42" s="2">
        <v>0</v>
      </c>
      <c r="AQ42" s="2">
        <v>298</v>
      </c>
      <c r="AR42" s="2">
        <v>2.48</v>
      </c>
      <c r="AS42" s="2">
        <v>0</v>
      </c>
      <c r="AT42" s="2">
        <v>93</v>
      </c>
      <c r="AU42" s="2">
        <v>52.7</v>
      </c>
      <c r="AV42" s="2">
        <v>1</v>
      </c>
      <c r="AW42" s="2">
        <v>1</v>
      </c>
      <c r="AX42" s="2"/>
      <c r="AY42" s="2"/>
      <c r="AZ42" s="2">
        <v>1</v>
      </c>
      <c r="BA42" s="2">
        <v>1</v>
      </c>
      <c r="BB42" s="2">
        <v>1</v>
      </c>
      <c r="BC42" s="2">
        <v>1</v>
      </c>
      <c r="BD42" s="2" t="s">
        <v>3</v>
      </c>
      <c r="BE42" s="2" t="s">
        <v>3</v>
      </c>
      <c r="BF42" s="2" t="s">
        <v>3</v>
      </c>
      <c r="BG42" s="2" t="s">
        <v>3</v>
      </c>
      <c r="BH42" s="2">
        <v>0</v>
      </c>
      <c r="BI42" s="2">
        <v>1</v>
      </c>
      <c r="BJ42" s="2" t="s">
        <v>27</v>
      </c>
      <c r="BK42" s="2"/>
      <c r="BL42" s="2"/>
      <c r="BM42" s="2">
        <v>9001</v>
      </c>
      <c r="BN42" s="2">
        <v>0</v>
      </c>
      <c r="BO42" s="2" t="s">
        <v>3</v>
      </c>
      <c r="BP42" s="2">
        <v>0</v>
      </c>
      <c r="BQ42" s="2">
        <v>2</v>
      </c>
      <c r="BR42" s="2">
        <v>0</v>
      </c>
      <c r="BS42" s="2">
        <v>1</v>
      </c>
      <c r="BT42" s="2">
        <v>1</v>
      </c>
      <c r="BU42" s="2">
        <v>1</v>
      </c>
      <c r="BV42" s="2">
        <v>1</v>
      </c>
      <c r="BW42" s="2">
        <v>1</v>
      </c>
      <c r="BX42" s="2">
        <v>1</v>
      </c>
      <c r="BY42" s="2" t="s">
        <v>3</v>
      </c>
      <c r="BZ42" s="2">
        <v>93</v>
      </c>
      <c r="CA42" s="2">
        <v>62</v>
      </c>
      <c r="CB42" s="2" t="s">
        <v>3</v>
      </c>
      <c r="CC42" s="2"/>
      <c r="CD42" s="2"/>
      <c r="CE42" s="2">
        <v>0</v>
      </c>
      <c r="CF42" s="2">
        <v>0</v>
      </c>
      <c r="CG42" s="2">
        <v>0</v>
      </c>
      <c r="CH42" s="2"/>
      <c r="CI42" s="2"/>
      <c r="CJ42" s="2"/>
      <c r="CK42" s="2"/>
      <c r="CL42" s="2"/>
      <c r="CM42" s="2">
        <v>0</v>
      </c>
      <c r="CN42" s="2" t="s">
        <v>385</v>
      </c>
      <c r="CO42" s="2">
        <v>0</v>
      </c>
      <c r="CP42" s="2">
        <f t="shared" si="37"/>
        <v>1150.59</v>
      </c>
      <c r="CQ42" s="2">
        <f t="shared" si="38"/>
        <v>275.88</v>
      </c>
      <c r="CR42" s="2">
        <f>((((ET42*ROUND(1.25,7)))*BB42-((EU42*ROUND(1.25,7)))*BS42)+AE42*BS42)</f>
        <v>718.99</v>
      </c>
      <c r="CS42" s="2">
        <f t="shared" si="39"/>
        <v>41.19</v>
      </c>
      <c r="CT42" s="2">
        <f t="shared" si="40"/>
        <v>3447.56</v>
      </c>
      <c r="CU42" s="2">
        <f t="shared" si="41"/>
        <v>0</v>
      </c>
      <c r="CV42" s="2">
        <f t="shared" si="42"/>
        <v>342.7</v>
      </c>
      <c r="CW42" s="2">
        <f t="shared" si="43"/>
        <v>3.1</v>
      </c>
      <c r="CX42" s="2">
        <f t="shared" si="44"/>
        <v>0</v>
      </c>
      <c r="CY42" s="2">
        <f t="shared" si="45"/>
        <v>840.3386999999999</v>
      </c>
      <c r="CZ42" s="2">
        <f t="shared" si="46"/>
        <v>476.19193</v>
      </c>
      <c r="DA42" s="2"/>
      <c r="DB42" s="2"/>
      <c r="DC42" s="2" t="s">
        <v>3</v>
      </c>
      <c r="DD42" s="2" t="s">
        <v>3</v>
      </c>
      <c r="DE42" s="2" t="s">
        <v>72</v>
      </c>
      <c r="DF42" s="2" t="s">
        <v>72</v>
      </c>
      <c r="DG42" s="2" t="s">
        <v>73</v>
      </c>
      <c r="DH42" s="2" t="s">
        <v>3</v>
      </c>
      <c r="DI42" s="2" t="s">
        <v>73</v>
      </c>
      <c r="DJ42" s="2" t="s">
        <v>72</v>
      </c>
      <c r="DK42" s="2" t="s">
        <v>3</v>
      </c>
      <c r="DL42" s="2" t="s">
        <v>3</v>
      </c>
      <c r="DM42" s="2" t="s">
        <v>74</v>
      </c>
      <c r="DN42" s="2">
        <v>0</v>
      </c>
      <c r="DO42" s="2">
        <v>0</v>
      </c>
      <c r="DP42" s="2">
        <v>1</v>
      </c>
      <c r="DQ42" s="2">
        <v>1</v>
      </c>
      <c r="DR42" s="2"/>
      <c r="DS42" s="2"/>
      <c r="DT42" s="2"/>
      <c r="DU42" s="2">
        <v>1005</v>
      </c>
      <c r="DV42" s="2" t="s">
        <v>26</v>
      </c>
      <c r="DW42" s="2" t="s">
        <v>26</v>
      </c>
      <c r="DX42" s="2">
        <v>100</v>
      </c>
      <c r="DY42" s="2"/>
      <c r="DZ42" s="2" t="s">
        <v>3</v>
      </c>
      <c r="EA42" s="2" t="s">
        <v>3</v>
      </c>
      <c r="EB42" s="2" t="s">
        <v>3</v>
      </c>
      <c r="EC42" s="2" t="s">
        <v>3</v>
      </c>
      <c r="ED42" s="2"/>
      <c r="EE42" s="2">
        <v>55471659</v>
      </c>
      <c r="EF42" s="2">
        <v>2</v>
      </c>
      <c r="EG42" s="2" t="s">
        <v>31</v>
      </c>
      <c r="EH42" s="2">
        <v>9</v>
      </c>
      <c r="EI42" s="2" t="s">
        <v>32</v>
      </c>
      <c r="EJ42" s="2">
        <v>1</v>
      </c>
      <c r="EK42" s="2">
        <v>9001</v>
      </c>
      <c r="EL42" s="2" t="s">
        <v>32</v>
      </c>
      <c r="EM42" s="2" t="s">
        <v>33</v>
      </c>
      <c r="EN42" s="2"/>
      <c r="EO42" s="2" t="s">
        <v>75</v>
      </c>
      <c r="EP42" s="2"/>
      <c r="EQ42" s="2">
        <v>0</v>
      </c>
      <c r="ER42" s="2">
        <v>3848.95</v>
      </c>
      <c r="ES42" s="2">
        <v>275.88</v>
      </c>
      <c r="ET42" s="2">
        <v>575.19</v>
      </c>
      <c r="EU42" s="2">
        <v>32.95</v>
      </c>
      <c r="EV42" s="2">
        <v>2997.88</v>
      </c>
      <c r="EW42" s="2">
        <v>298</v>
      </c>
      <c r="EX42" s="2">
        <v>2.48</v>
      </c>
      <c r="EY42" s="2">
        <v>0</v>
      </c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>
        <v>0</v>
      </c>
      <c r="FR42" s="2">
        <f t="shared" si="47"/>
        <v>0</v>
      </c>
      <c r="FS42" s="2">
        <v>0</v>
      </c>
      <c r="FT42" s="2"/>
      <c r="FU42" s="2"/>
      <c r="FV42" s="2"/>
      <c r="FW42" s="2"/>
      <c r="FX42" s="2">
        <v>93</v>
      </c>
      <c r="FY42" s="2">
        <v>52.7</v>
      </c>
      <c r="FZ42" s="2"/>
      <c r="GA42" s="2" t="s">
        <v>3</v>
      </c>
      <c r="GB42" s="2"/>
      <c r="GC42" s="2"/>
      <c r="GD42" s="2">
        <v>1</v>
      </c>
      <c r="GE42" s="2"/>
      <c r="GF42" s="2">
        <v>829803547</v>
      </c>
      <c r="GG42" s="2">
        <v>2</v>
      </c>
      <c r="GH42" s="2">
        <v>1</v>
      </c>
      <c r="GI42" s="2">
        <v>-2</v>
      </c>
      <c r="GJ42" s="2">
        <v>0</v>
      </c>
      <c r="GK42" s="2">
        <v>0</v>
      </c>
      <c r="GL42" s="2">
        <f t="shared" si="48"/>
        <v>0</v>
      </c>
      <c r="GM42" s="2">
        <f t="shared" si="49"/>
        <v>2467.12</v>
      </c>
      <c r="GN42" s="2">
        <f t="shared" si="50"/>
        <v>2467.12</v>
      </c>
      <c r="GO42" s="2">
        <f t="shared" si="51"/>
        <v>0</v>
      </c>
      <c r="GP42" s="2">
        <f t="shared" si="52"/>
        <v>0</v>
      </c>
      <c r="GQ42" s="2"/>
      <c r="GR42" s="2">
        <v>0</v>
      </c>
      <c r="GS42" s="2">
        <v>3</v>
      </c>
      <c r="GT42" s="2">
        <v>0</v>
      </c>
      <c r="GU42" s="2" t="s">
        <v>3</v>
      </c>
      <c r="GV42" s="2">
        <f t="shared" si="53"/>
        <v>0</v>
      </c>
      <c r="GW42" s="2">
        <v>1</v>
      </c>
      <c r="GX42" s="2">
        <f t="shared" si="54"/>
        <v>0</v>
      </c>
      <c r="GY42" s="2"/>
      <c r="GZ42" s="2"/>
      <c r="HA42" s="2">
        <v>0</v>
      </c>
      <c r="HB42" s="2">
        <v>0</v>
      </c>
      <c r="HC42" s="2">
        <f t="shared" si="55"/>
        <v>0</v>
      </c>
      <c r="HD42" s="2"/>
      <c r="HE42" s="2" t="s">
        <v>3</v>
      </c>
      <c r="HF42" s="2" t="s">
        <v>3</v>
      </c>
      <c r="HG42" s="2"/>
      <c r="HH42" s="2"/>
      <c r="HI42" s="2"/>
      <c r="HJ42" s="2"/>
      <c r="HK42" s="2"/>
      <c r="HL42" s="2"/>
      <c r="HM42" s="2" t="s">
        <v>3</v>
      </c>
      <c r="HN42" s="2" t="s">
        <v>35</v>
      </c>
      <c r="HO42" s="2" t="s">
        <v>36</v>
      </c>
      <c r="HP42" s="2" t="s">
        <v>32</v>
      </c>
      <c r="HQ42" s="2" t="s">
        <v>32</v>
      </c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>
        <v>0</v>
      </c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45" ht="12.75">
      <c r="A43">
        <v>17</v>
      </c>
      <c r="B43">
        <v>1</v>
      </c>
      <c r="C43">
        <f>ROW(SmtRes!A76)</f>
        <v>76</v>
      </c>
      <c r="D43">
        <f>ROW(EtalonRes!A88)</f>
        <v>88</v>
      </c>
      <c r="E43" t="s">
        <v>76</v>
      </c>
      <c r="F43" t="s">
        <v>24</v>
      </c>
      <c r="G43" t="s">
        <v>77</v>
      </c>
      <c r="H43" t="s">
        <v>26</v>
      </c>
      <c r="I43">
        <f>ROUND(25.9/100,7)</f>
        <v>0.259</v>
      </c>
      <c r="J43">
        <v>0</v>
      </c>
      <c r="K43">
        <f>ROUND(25.9/100,7)</f>
        <v>0.259</v>
      </c>
      <c r="O43">
        <f t="shared" si="21"/>
        <v>36287.27</v>
      </c>
      <c r="P43">
        <f t="shared" si="22"/>
        <v>480.16</v>
      </c>
      <c r="Q43">
        <f t="shared" si="23"/>
        <v>2465.55</v>
      </c>
      <c r="R43">
        <f t="shared" si="24"/>
        <v>398.35</v>
      </c>
      <c r="S43">
        <f t="shared" si="25"/>
        <v>33341.56</v>
      </c>
      <c r="T43">
        <f t="shared" si="26"/>
        <v>0</v>
      </c>
      <c r="U43">
        <f t="shared" si="27"/>
        <v>88.7593</v>
      </c>
      <c r="V43">
        <f t="shared" si="28"/>
        <v>0.8029000000000001</v>
      </c>
      <c r="W43">
        <f t="shared" si="29"/>
        <v>0</v>
      </c>
      <c r="X43">
        <f t="shared" si="30"/>
        <v>31378.12</v>
      </c>
      <c r="Y43">
        <f t="shared" si="31"/>
        <v>17780.93</v>
      </c>
      <c r="AA43">
        <v>55668704</v>
      </c>
      <c r="AB43">
        <f t="shared" si="32"/>
        <v>4442.43</v>
      </c>
      <c r="AC43">
        <f t="shared" si="56"/>
        <v>275.88</v>
      </c>
      <c r="AD43">
        <f>ROUND(((((ET43*ROUND(1.25,7)))-((EU43*ROUND(1.25,7))))+AE43),2)</f>
        <v>718.99</v>
      </c>
      <c r="AE43">
        <f>ROUND(((EU43*ROUND(1.25,7))),2)</f>
        <v>41.19</v>
      </c>
      <c r="AF43">
        <f>ROUND(((EV43*ROUND(1.15,7))),2)</f>
        <v>3447.56</v>
      </c>
      <c r="AG43">
        <f t="shared" si="34"/>
        <v>0</v>
      </c>
      <c r="AH43">
        <f>((EW43*ROUND(1.15,7)))</f>
        <v>342.7</v>
      </c>
      <c r="AI43">
        <f>((EX43*ROUND(1.25,7)))</f>
        <v>3.1</v>
      </c>
      <c r="AJ43">
        <f t="shared" si="36"/>
        <v>0</v>
      </c>
      <c r="AK43">
        <v>3848.95</v>
      </c>
      <c r="AL43">
        <v>275.88</v>
      </c>
      <c r="AM43">
        <v>575.19</v>
      </c>
      <c r="AN43">
        <v>32.95</v>
      </c>
      <c r="AO43">
        <v>2997.88</v>
      </c>
      <c r="AP43">
        <v>0</v>
      </c>
      <c r="AQ43">
        <v>298</v>
      </c>
      <c r="AR43">
        <v>2.48</v>
      </c>
      <c r="AS43">
        <v>0</v>
      </c>
      <c r="AT43">
        <v>93</v>
      </c>
      <c r="AU43">
        <v>52.7</v>
      </c>
      <c r="AV43">
        <v>1</v>
      </c>
      <c r="AW43">
        <v>1</v>
      </c>
      <c r="AZ43">
        <v>1</v>
      </c>
      <c r="BA43">
        <v>37.34</v>
      </c>
      <c r="BB43">
        <v>13.24</v>
      </c>
      <c r="BC43">
        <v>6.72</v>
      </c>
      <c r="BH43">
        <v>0</v>
      </c>
      <c r="BI43">
        <v>1</v>
      </c>
      <c r="BJ43" t="s">
        <v>27</v>
      </c>
      <c r="BM43">
        <v>9001</v>
      </c>
      <c r="BN43">
        <v>0</v>
      </c>
      <c r="BO43" t="s">
        <v>37</v>
      </c>
      <c r="BP43">
        <v>1</v>
      </c>
      <c r="BQ43">
        <v>2</v>
      </c>
      <c r="BR43">
        <v>0</v>
      </c>
      <c r="BS43">
        <v>37.34</v>
      </c>
      <c r="BT43">
        <v>1</v>
      </c>
      <c r="BU43">
        <v>1</v>
      </c>
      <c r="BV43">
        <v>1</v>
      </c>
      <c r="BW43">
        <v>1</v>
      </c>
      <c r="BX43">
        <v>1</v>
      </c>
      <c r="BZ43">
        <v>93</v>
      </c>
      <c r="CA43">
        <v>62</v>
      </c>
      <c r="CE43">
        <v>0</v>
      </c>
      <c r="CF43">
        <v>0</v>
      </c>
      <c r="CG43">
        <v>0</v>
      </c>
      <c r="CM43">
        <v>0</v>
      </c>
      <c r="CN43" t="s">
        <v>385</v>
      </c>
      <c r="CO43">
        <v>0</v>
      </c>
      <c r="CP43">
        <f t="shared" si="37"/>
        <v>36287.27</v>
      </c>
      <c r="CQ43">
        <f t="shared" si="38"/>
        <v>1853.9135999999999</v>
      </c>
      <c r="CR43">
        <f>((((ET43*ROUND(1.25,7)))*BB43-((EU43*ROUND(1.25,7)))*BS43)+AE43*BS43)</f>
        <v>9519.487850000001</v>
      </c>
      <c r="CS43">
        <f t="shared" si="39"/>
        <v>1538.0346</v>
      </c>
      <c r="CT43">
        <f t="shared" si="40"/>
        <v>128731.8904</v>
      </c>
      <c r="CU43">
        <f t="shared" si="41"/>
        <v>0</v>
      </c>
      <c r="CV43">
        <f t="shared" si="42"/>
        <v>342.7</v>
      </c>
      <c r="CW43">
        <f t="shared" si="43"/>
        <v>3.1</v>
      </c>
      <c r="CX43">
        <f t="shared" si="44"/>
        <v>0</v>
      </c>
      <c r="CY43">
        <f t="shared" si="45"/>
        <v>31378.116299999994</v>
      </c>
      <c r="CZ43">
        <f t="shared" si="46"/>
        <v>17780.93257</v>
      </c>
      <c r="DE43" t="s">
        <v>72</v>
      </c>
      <c r="DF43" t="s">
        <v>72</v>
      </c>
      <c r="DG43" t="s">
        <v>73</v>
      </c>
      <c r="DI43" t="s">
        <v>73</v>
      </c>
      <c r="DJ43" t="s">
        <v>72</v>
      </c>
      <c r="DM43" t="s">
        <v>74</v>
      </c>
      <c r="DN43">
        <v>0</v>
      </c>
      <c r="DO43">
        <v>0</v>
      </c>
      <c r="DP43">
        <v>1</v>
      </c>
      <c r="DQ43">
        <v>1</v>
      </c>
      <c r="DU43">
        <v>1005</v>
      </c>
      <c r="DV43" t="s">
        <v>26</v>
      </c>
      <c r="DW43" t="s">
        <v>26</v>
      </c>
      <c r="DX43">
        <v>100</v>
      </c>
      <c r="EE43">
        <v>55471659</v>
      </c>
      <c r="EF43">
        <v>2</v>
      </c>
      <c r="EG43" t="s">
        <v>31</v>
      </c>
      <c r="EH43">
        <v>9</v>
      </c>
      <c r="EI43" t="s">
        <v>32</v>
      </c>
      <c r="EJ43">
        <v>1</v>
      </c>
      <c r="EK43">
        <v>9001</v>
      </c>
      <c r="EL43" t="s">
        <v>32</v>
      </c>
      <c r="EM43" t="s">
        <v>33</v>
      </c>
      <c r="EO43" t="s">
        <v>75</v>
      </c>
      <c r="EQ43">
        <v>0</v>
      </c>
      <c r="ER43">
        <v>3848.95</v>
      </c>
      <c r="ES43">
        <v>275.88</v>
      </c>
      <c r="ET43">
        <v>575.19</v>
      </c>
      <c r="EU43">
        <v>32.95</v>
      </c>
      <c r="EV43">
        <v>2997.88</v>
      </c>
      <c r="EW43">
        <v>298</v>
      </c>
      <c r="EX43">
        <v>2.48</v>
      </c>
      <c r="EY43">
        <v>0</v>
      </c>
      <c r="FQ43">
        <v>0</v>
      </c>
      <c r="FR43">
        <f t="shared" si="47"/>
        <v>0</v>
      </c>
      <c r="FS43">
        <v>0</v>
      </c>
      <c r="FX43">
        <v>93</v>
      </c>
      <c r="FY43">
        <v>52.7</v>
      </c>
      <c r="GD43">
        <v>1</v>
      </c>
      <c r="GF43">
        <v>829803547</v>
      </c>
      <c r="GG43">
        <v>2</v>
      </c>
      <c r="GH43">
        <v>1</v>
      </c>
      <c r="GI43">
        <v>4</v>
      </c>
      <c r="GJ43">
        <v>0</v>
      </c>
      <c r="GK43">
        <v>0</v>
      </c>
      <c r="GL43">
        <f t="shared" si="48"/>
        <v>0</v>
      </c>
      <c r="GM43">
        <f t="shared" si="49"/>
        <v>85446.32</v>
      </c>
      <c r="GN43">
        <f t="shared" si="50"/>
        <v>85446.32</v>
      </c>
      <c r="GO43">
        <f t="shared" si="51"/>
        <v>0</v>
      </c>
      <c r="GP43">
        <f t="shared" si="52"/>
        <v>0</v>
      </c>
      <c r="GR43">
        <v>0</v>
      </c>
      <c r="GS43">
        <v>3</v>
      </c>
      <c r="GT43">
        <v>0</v>
      </c>
      <c r="GV43">
        <f t="shared" si="53"/>
        <v>0</v>
      </c>
      <c r="GW43">
        <v>1</v>
      </c>
      <c r="GX43">
        <f t="shared" si="54"/>
        <v>0</v>
      </c>
      <c r="HA43">
        <v>0</v>
      </c>
      <c r="HB43">
        <v>0</v>
      </c>
      <c r="HC43">
        <f t="shared" si="55"/>
        <v>0</v>
      </c>
      <c r="HN43" t="s">
        <v>35</v>
      </c>
      <c r="HO43" t="s">
        <v>36</v>
      </c>
      <c r="HP43" t="s">
        <v>32</v>
      </c>
      <c r="HQ43" t="s">
        <v>32</v>
      </c>
      <c r="IK43">
        <v>0</v>
      </c>
    </row>
    <row r="44" spans="1:255" ht="12.75">
      <c r="A44" s="2">
        <v>18</v>
      </c>
      <c r="B44" s="2">
        <v>1</v>
      </c>
      <c r="C44" s="2">
        <v>64</v>
      </c>
      <c r="D44" s="2"/>
      <c r="E44" s="2" t="s">
        <v>78</v>
      </c>
      <c r="F44" s="2" t="s">
        <v>79</v>
      </c>
      <c r="G44" s="2" t="s">
        <v>80</v>
      </c>
      <c r="H44" s="2" t="s">
        <v>81</v>
      </c>
      <c r="I44" s="2">
        <f>I42*J44</f>
        <v>25.9</v>
      </c>
      <c r="J44" s="2">
        <v>99.99999999999999</v>
      </c>
      <c r="K44" s="2">
        <v>100</v>
      </c>
      <c r="L44" s="2"/>
      <c r="M44" s="2"/>
      <c r="N44" s="2"/>
      <c r="O44" s="2">
        <f t="shared" si="21"/>
        <v>796606.3</v>
      </c>
      <c r="P44" s="2">
        <f t="shared" si="22"/>
        <v>796606.3</v>
      </c>
      <c r="Q44" s="2">
        <f t="shared" si="23"/>
        <v>0</v>
      </c>
      <c r="R44" s="2">
        <f t="shared" si="24"/>
        <v>0</v>
      </c>
      <c r="S44" s="2">
        <f t="shared" si="25"/>
        <v>0</v>
      </c>
      <c r="T44" s="2">
        <f t="shared" si="26"/>
        <v>0</v>
      </c>
      <c r="U44" s="2">
        <f t="shared" si="27"/>
        <v>0</v>
      </c>
      <c r="V44" s="2">
        <f t="shared" si="28"/>
        <v>0</v>
      </c>
      <c r="W44" s="2">
        <f t="shared" si="29"/>
        <v>0</v>
      </c>
      <c r="X44" s="2">
        <f t="shared" si="30"/>
        <v>0</v>
      </c>
      <c r="Y44" s="2">
        <f t="shared" si="31"/>
        <v>0</v>
      </c>
      <c r="Z44" s="2"/>
      <c r="AA44" s="2">
        <v>55668703</v>
      </c>
      <c r="AB44" s="2">
        <f t="shared" si="32"/>
        <v>30757</v>
      </c>
      <c r="AC44" s="2">
        <f t="shared" si="56"/>
        <v>30757</v>
      </c>
      <c r="AD44" s="2">
        <f>ROUND((((ET44)-(EU44))+AE44),2)</f>
        <v>0</v>
      </c>
      <c r="AE44" s="2">
        <f aca="true" t="shared" si="61" ref="AE44:AF47">ROUND((EU44),2)</f>
        <v>0</v>
      </c>
      <c r="AF44" s="2">
        <f t="shared" si="61"/>
        <v>0</v>
      </c>
      <c r="AG44" s="2">
        <f t="shared" si="34"/>
        <v>0</v>
      </c>
      <c r="AH44" s="2">
        <f aca="true" t="shared" si="62" ref="AH44:AI47">(EW44)</f>
        <v>0</v>
      </c>
      <c r="AI44" s="2">
        <f t="shared" si="62"/>
        <v>0</v>
      </c>
      <c r="AJ44" s="2">
        <f t="shared" si="36"/>
        <v>0</v>
      </c>
      <c r="AK44" s="2">
        <v>30757</v>
      </c>
      <c r="AL44" s="2">
        <v>30757</v>
      </c>
      <c r="AM44" s="2">
        <v>0</v>
      </c>
      <c r="AN44" s="2">
        <v>0</v>
      </c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>
        <v>93</v>
      </c>
      <c r="AU44" s="2">
        <v>62</v>
      </c>
      <c r="AV44" s="2">
        <v>1</v>
      </c>
      <c r="AW44" s="2">
        <v>1</v>
      </c>
      <c r="AX44" s="2"/>
      <c r="AY44" s="2"/>
      <c r="AZ44" s="2">
        <v>1</v>
      </c>
      <c r="BA44" s="2">
        <v>1</v>
      </c>
      <c r="BB44" s="2">
        <v>1</v>
      </c>
      <c r="BC44" s="2">
        <v>1</v>
      </c>
      <c r="BD44" s="2" t="s">
        <v>3</v>
      </c>
      <c r="BE44" s="2" t="s">
        <v>3</v>
      </c>
      <c r="BF44" s="2" t="s">
        <v>3</v>
      </c>
      <c r="BG44" s="2" t="s">
        <v>3</v>
      </c>
      <c r="BH44" s="2">
        <v>3</v>
      </c>
      <c r="BI44" s="2">
        <v>1</v>
      </c>
      <c r="BJ44" s="2" t="s">
        <v>3</v>
      </c>
      <c r="BK44" s="2"/>
      <c r="BL44" s="2"/>
      <c r="BM44" s="2">
        <v>9001</v>
      </c>
      <c r="BN44" s="2">
        <v>0</v>
      </c>
      <c r="BO44" s="2" t="s">
        <v>3</v>
      </c>
      <c r="BP44" s="2">
        <v>0</v>
      </c>
      <c r="BQ44" s="2">
        <v>2</v>
      </c>
      <c r="BR44" s="2">
        <v>0</v>
      </c>
      <c r="BS44" s="2">
        <v>1</v>
      </c>
      <c r="BT44" s="2">
        <v>1</v>
      </c>
      <c r="BU44" s="2">
        <v>1</v>
      </c>
      <c r="BV44" s="2">
        <v>1</v>
      </c>
      <c r="BW44" s="2">
        <v>1</v>
      </c>
      <c r="BX44" s="2">
        <v>1</v>
      </c>
      <c r="BY44" s="2" t="s">
        <v>3</v>
      </c>
      <c r="BZ44" s="2">
        <v>93</v>
      </c>
      <c r="CA44" s="2">
        <v>62</v>
      </c>
      <c r="CB44" s="2" t="s">
        <v>3</v>
      </c>
      <c r="CC44" s="2"/>
      <c r="CD44" s="2"/>
      <c r="CE44" s="2">
        <v>0</v>
      </c>
      <c r="CF44" s="2">
        <v>0</v>
      </c>
      <c r="CG44" s="2">
        <v>0</v>
      </c>
      <c r="CH44" s="2"/>
      <c r="CI44" s="2"/>
      <c r="CJ44" s="2"/>
      <c r="CK44" s="2"/>
      <c r="CL44" s="2"/>
      <c r="CM44" s="2">
        <v>0</v>
      </c>
      <c r="CN44" s="2" t="s">
        <v>3</v>
      </c>
      <c r="CO44" s="2">
        <v>0</v>
      </c>
      <c r="CP44" s="2">
        <f t="shared" si="37"/>
        <v>796606.3</v>
      </c>
      <c r="CQ44" s="2">
        <f t="shared" si="38"/>
        <v>30757</v>
      </c>
      <c r="CR44" s="2">
        <f>(((ET44)*BB44-(EU44)*BS44)+AE44*BS44)</f>
        <v>0</v>
      </c>
      <c r="CS44" s="2">
        <f t="shared" si="39"/>
        <v>0</v>
      </c>
      <c r="CT44" s="2">
        <f t="shared" si="40"/>
        <v>0</v>
      </c>
      <c r="CU44" s="2">
        <f t="shared" si="41"/>
        <v>0</v>
      </c>
      <c r="CV44" s="2">
        <f t="shared" si="42"/>
        <v>0</v>
      </c>
      <c r="CW44" s="2">
        <f t="shared" si="43"/>
        <v>0</v>
      </c>
      <c r="CX44" s="2">
        <f t="shared" si="44"/>
        <v>0</v>
      </c>
      <c r="CY44" s="2">
        <f t="shared" si="45"/>
        <v>0</v>
      </c>
      <c r="CZ44" s="2">
        <f t="shared" si="46"/>
        <v>0</v>
      </c>
      <c r="DA44" s="2"/>
      <c r="DB44" s="2"/>
      <c r="DC44" s="2" t="s">
        <v>3</v>
      </c>
      <c r="DD44" s="2" t="s">
        <v>3</v>
      </c>
      <c r="DE44" s="2" t="s">
        <v>3</v>
      </c>
      <c r="DF44" s="2" t="s">
        <v>3</v>
      </c>
      <c r="DG44" s="2" t="s">
        <v>3</v>
      </c>
      <c r="DH44" s="2" t="s">
        <v>3</v>
      </c>
      <c r="DI44" s="2" t="s">
        <v>3</v>
      </c>
      <c r="DJ44" s="2" t="s">
        <v>3</v>
      </c>
      <c r="DK44" s="2" t="s">
        <v>3</v>
      </c>
      <c r="DL44" s="2" t="s">
        <v>3</v>
      </c>
      <c r="DM44" s="2" t="s">
        <v>3</v>
      </c>
      <c r="DN44" s="2">
        <v>0</v>
      </c>
      <c r="DO44" s="2">
        <v>0</v>
      </c>
      <c r="DP44" s="2">
        <v>1</v>
      </c>
      <c r="DQ44" s="2">
        <v>1</v>
      </c>
      <c r="DR44" s="2"/>
      <c r="DS44" s="2"/>
      <c r="DT44" s="2"/>
      <c r="DU44" s="2">
        <v>1005</v>
      </c>
      <c r="DV44" s="2" t="s">
        <v>81</v>
      </c>
      <c r="DW44" s="2" t="s">
        <v>81</v>
      </c>
      <c r="DX44" s="2">
        <v>1</v>
      </c>
      <c r="DY44" s="2"/>
      <c r="DZ44" s="2" t="s">
        <v>3</v>
      </c>
      <c r="EA44" s="2" t="s">
        <v>3</v>
      </c>
      <c r="EB44" s="2" t="s">
        <v>3</v>
      </c>
      <c r="EC44" s="2" t="s">
        <v>3</v>
      </c>
      <c r="ED44" s="2"/>
      <c r="EE44" s="2">
        <v>55471659</v>
      </c>
      <c r="EF44" s="2">
        <v>2</v>
      </c>
      <c r="EG44" s="2" t="s">
        <v>31</v>
      </c>
      <c r="EH44" s="2">
        <v>9</v>
      </c>
      <c r="EI44" s="2" t="s">
        <v>32</v>
      </c>
      <c r="EJ44" s="2">
        <v>1</v>
      </c>
      <c r="EK44" s="2">
        <v>9001</v>
      </c>
      <c r="EL44" s="2" t="s">
        <v>32</v>
      </c>
      <c r="EM44" s="2" t="s">
        <v>33</v>
      </c>
      <c r="EN44" s="2"/>
      <c r="EO44" s="2" t="s">
        <v>3</v>
      </c>
      <c r="EP44" s="2"/>
      <c r="EQ44" s="2">
        <v>0</v>
      </c>
      <c r="ER44" s="2">
        <v>0</v>
      </c>
      <c r="ES44" s="2">
        <v>30757</v>
      </c>
      <c r="ET44" s="2">
        <v>0</v>
      </c>
      <c r="EU44" s="2">
        <v>0</v>
      </c>
      <c r="EV44" s="2">
        <v>0</v>
      </c>
      <c r="EW44" s="2">
        <v>0</v>
      </c>
      <c r="EX44" s="2">
        <v>0</v>
      </c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>
        <v>0</v>
      </c>
      <c r="FR44" s="2">
        <f t="shared" si="47"/>
        <v>0</v>
      </c>
      <c r="FS44" s="2">
        <v>0</v>
      </c>
      <c r="FT44" s="2"/>
      <c r="FU44" s="2"/>
      <c r="FV44" s="2"/>
      <c r="FW44" s="2"/>
      <c r="FX44" s="2">
        <v>93</v>
      </c>
      <c r="FY44" s="2">
        <v>62</v>
      </c>
      <c r="FZ44" s="2"/>
      <c r="GA44" s="2" t="s">
        <v>82</v>
      </c>
      <c r="GB44" s="2"/>
      <c r="GC44" s="2"/>
      <c r="GD44" s="2">
        <v>1</v>
      </c>
      <c r="GE44" s="2"/>
      <c r="GF44" s="2">
        <v>155134122</v>
      </c>
      <c r="GG44" s="2">
        <v>2</v>
      </c>
      <c r="GH44" s="2">
        <v>4</v>
      </c>
      <c r="GI44" s="2">
        <v>-2</v>
      </c>
      <c r="GJ44" s="2">
        <v>0</v>
      </c>
      <c r="GK44" s="2">
        <v>0</v>
      </c>
      <c r="GL44" s="2">
        <f t="shared" si="48"/>
        <v>0</v>
      </c>
      <c r="GM44" s="2">
        <f t="shared" si="49"/>
        <v>796606.3</v>
      </c>
      <c r="GN44" s="2">
        <f t="shared" si="50"/>
        <v>796606.3</v>
      </c>
      <c r="GO44" s="2">
        <f t="shared" si="51"/>
        <v>0</v>
      </c>
      <c r="GP44" s="2">
        <f t="shared" si="52"/>
        <v>0</v>
      </c>
      <c r="GQ44" s="2"/>
      <c r="GR44" s="2">
        <v>0</v>
      </c>
      <c r="GS44" s="2">
        <v>2</v>
      </c>
      <c r="GT44" s="2">
        <v>0</v>
      </c>
      <c r="GU44" s="2" t="s">
        <v>3</v>
      </c>
      <c r="GV44" s="2">
        <f t="shared" si="53"/>
        <v>0</v>
      </c>
      <c r="GW44" s="2">
        <v>1</v>
      </c>
      <c r="GX44" s="2">
        <f t="shared" si="54"/>
        <v>0</v>
      </c>
      <c r="GY44" s="2"/>
      <c r="GZ44" s="2"/>
      <c r="HA44" s="2">
        <v>0</v>
      </c>
      <c r="HB44" s="2">
        <v>0</v>
      </c>
      <c r="HC44" s="2">
        <f t="shared" si="55"/>
        <v>0</v>
      </c>
      <c r="HD44" s="2"/>
      <c r="HE44" s="2" t="s">
        <v>3</v>
      </c>
      <c r="HF44" s="2" t="s">
        <v>3</v>
      </c>
      <c r="HG44" s="2"/>
      <c r="HH44" s="2"/>
      <c r="HI44" s="2"/>
      <c r="HJ44" s="2"/>
      <c r="HK44" s="2"/>
      <c r="HL44" s="2"/>
      <c r="HM44" s="2" t="s">
        <v>3</v>
      </c>
      <c r="HN44" s="2" t="s">
        <v>35</v>
      </c>
      <c r="HO44" s="2" t="s">
        <v>36</v>
      </c>
      <c r="HP44" s="2" t="s">
        <v>32</v>
      </c>
      <c r="HQ44" s="2" t="s">
        <v>32</v>
      </c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>
        <v>0</v>
      </c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:245" ht="12.75">
      <c r="A45">
        <v>18</v>
      </c>
      <c r="B45">
        <v>1</v>
      </c>
      <c r="C45">
        <v>75</v>
      </c>
      <c r="E45" t="s">
        <v>78</v>
      </c>
      <c r="F45" t="s">
        <v>79</v>
      </c>
      <c r="G45" t="s">
        <v>80</v>
      </c>
      <c r="H45" t="s">
        <v>81</v>
      </c>
      <c r="I45">
        <f>I43*J45</f>
        <v>25.9</v>
      </c>
      <c r="J45">
        <v>99.99999999999999</v>
      </c>
      <c r="K45">
        <v>100</v>
      </c>
      <c r="O45">
        <f t="shared" si="21"/>
        <v>796606.3</v>
      </c>
      <c r="P45">
        <f t="shared" si="22"/>
        <v>796606.3</v>
      </c>
      <c r="Q45">
        <f t="shared" si="23"/>
        <v>0</v>
      </c>
      <c r="R45">
        <f t="shared" si="24"/>
        <v>0</v>
      </c>
      <c r="S45">
        <f t="shared" si="25"/>
        <v>0</v>
      </c>
      <c r="T45">
        <f t="shared" si="26"/>
        <v>0</v>
      </c>
      <c r="U45">
        <f t="shared" si="27"/>
        <v>0</v>
      </c>
      <c r="V45">
        <f t="shared" si="28"/>
        <v>0</v>
      </c>
      <c r="W45">
        <f t="shared" si="29"/>
        <v>0</v>
      </c>
      <c r="X45">
        <f t="shared" si="30"/>
        <v>0</v>
      </c>
      <c r="Y45">
        <f t="shared" si="31"/>
        <v>0</v>
      </c>
      <c r="AA45">
        <v>55668704</v>
      </c>
      <c r="AB45">
        <f t="shared" si="32"/>
        <v>30757</v>
      </c>
      <c r="AC45">
        <f t="shared" si="56"/>
        <v>30757</v>
      </c>
      <c r="AD45">
        <f>ROUND((((ET45)-(EU45))+AE45),2)</f>
        <v>0</v>
      </c>
      <c r="AE45">
        <f t="shared" si="61"/>
        <v>0</v>
      </c>
      <c r="AF45">
        <f t="shared" si="61"/>
        <v>0</v>
      </c>
      <c r="AG45">
        <f t="shared" si="34"/>
        <v>0</v>
      </c>
      <c r="AH45">
        <f t="shared" si="62"/>
        <v>0</v>
      </c>
      <c r="AI45">
        <f t="shared" si="62"/>
        <v>0</v>
      </c>
      <c r="AJ45">
        <f t="shared" si="36"/>
        <v>0</v>
      </c>
      <c r="AK45">
        <v>30757</v>
      </c>
      <c r="AL45">
        <v>30757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93</v>
      </c>
      <c r="AU45">
        <v>62</v>
      </c>
      <c r="AV45">
        <v>1</v>
      </c>
      <c r="AW45">
        <v>1</v>
      </c>
      <c r="AZ45">
        <v>1</v>
      </c>
      <c r="BA45">
        <v>1</v>
      </c>
      <c r="BB45">
        <v>1</v>
      </c>
      <c r="BC45">
        <v>1</v>
      </c>
      <c r="BH45">
        <v>3</v>
      </c>
      <c r="BI45">
        <v>1</v>
      </c>
      <c r="BM45">
        <v>9001</v>
      </c>
      <c r="BN45">
        <v>0</v>
      </c>
      <c r="BP45">
        <v>0</v>
      </c>
      <c r="BQ45">
        <v>2</v>
      </c>
      <c r="BR45">
        <v>0</v>
      </c>
      <c r="BS45">
        <v>1</v>
      </c>
      <c r="BT45">
        <v>1</v>
      </c>
      <c r="BU45">
        <v>1</v>
      </c>
      <c r="BV45">
        <v>1</v>
      </c>
      <c r="BW45">
        <v>1</v>
      </c>
      <c r="BX45">
        <v>1</v>
      </c>
      <c r="BZ45">
        <v>93</v>
      </c>
      <c r="CA45">
        <v>62</v>
      </c>
      <c r="CE45">
        <v>0</v>
      </c>
      <c r="CF45">
        <v>0</v>
      </c>
      <c r="CG45">
        <v>0</v>
      </c>
      <c r="CM45">
        <v>0</v>
      </c>
      <c r="CO45">
        <v>0</v>
      </c>
      <c r="CP45">
        <f t="shared" si="37"/>
        <v>796606.3</v>
      </c>
      <c r="CQ45">
        <f t="shared" si="38"/>
        <v>30757</v>
      </c>
      <c r="CR45">
        <f>(((ET45)*BB45-(EU45)*BS45)+AE45*BS45)</f>
        <v>0</v>
      </c>
      <c r="CS45">
        <f t="shared" si="39"/>
        <v>0</v>
      </c>
      <c r="CT45">
        <f t="shared" si="40"/>
        <v>0</v>
      </c>
      <c r="CU45">
        <f t="shared" si="41"/>
        <v>0</v>
      </c>
      <c r="CV45">
        <f t="shared" si="42"/>
        <v>0</v>
      </c>
      <c r="CW45">
        <f t="shared" si="43"/>
        <v>0</v>
      </c>
      <c r="CX45">
        <f t="shared" si="44"/>
        <v>0</v>
      </c>
      <c r="CY45">
        <f t="shared" si="45"/>
        <v>0</v>
      </c>
      <c r="CZ45">
        <f t="shared" si="46"/>
        <v>0</v>
      </c>
      <c r="DN45">
        <v>0</v>
      </c>
      <c r="DO45">
        <v>0</v>
      </c>
      <c r="DP45">
        <v>1</v>
      </c>
      <c r="DQ45">
        <v>1</v>
      </c>
      <c r="DU45">
        <v>1005</v>
      </c>
      <c r="DV45" t="s">
        <v>81</v>
      </c>
      <c r="DW45" t="s">
        <v>81</v>
      </c>
      <c r="DX45">
        <v>1</v>
      </c>
      <c r="EE45">
        <v>55471659</v>
      </c>
      <c r="EF45">
        <v>2</v>
      </c>
      <c r="EG45" t="s">
        <v>31</v>
      </c>
      <c r="EH45">
        <v>9</v>
      </c>
      <c r="EI45" t="s">
        <v>32</v>
      </c>
      <c r="EJ45">
        <v>1</v>
      </c>
      <c r="EK45">
        <v>9001</v>
      </c>
      <c r="EL45" t="s">
        <v>32</v>
      </c>
      <c r="EM45" t="s">
        <v>33</v>
      </c>
      <c r="EQ45">
        <v>0</v>
      </c>
      <c r="ER45">
        <v>0</v>
      </c>
      <c r="ES45">
        <v>30757</v>
      </c>
      <c r="ET45">
        <v>0</v>
      </c>
      <c r="EU45">
        <v>0</v>
      </c>
      <c r="EV45">
        <v>0</v>
      </c>
      <c r="EW45">
        <v>0</v>
      </c>
      <c r="EX45">
        <v>0</v>
      </c>
      <c r="FQ45">
        <v>0</v>
      </c>
      <c r="FR45">
        <f t="shared" si="47"/>
        <v>0</v>
      </c>
      <c r="FS45">
        <v>0</v>
      </c>
      <c r="FX45">
        <v>93</v>
      </c>
      <c r="FY45">
        <v>62</v>
      </c>
      <c r="GA45" t="s">
        <v>82</v>
      </c>
      <c r="GD45">
        <v>1</v>
      </c>
      <c r="GF45">
        <v>155134122</v>
      </c>
      <c r="GG45">
        <v>2</v>
      </c>
      <c r="GH45">
        <v>2</v>
      </c>
      <c r="GI45">
        <v>3</v>
      </c>
      <c r="GJ45">
        <v>0</v>
      </c>
      <c r="GK45">
        <v>0</v>
      </c>
      <c r="GL45">
        <f t="shared" si="48"/>
        <v>0</v>
      </c>
      <c r="GM45">
        <f t="shared" si="49"/>
        <v>796606.3</v>
      </c>
      <c r="GN45">
        <f t="shared" si="50"/>
        <v>796606.3</v>
      </c>
      <c r="GO45">
        <f t="shared" si="51"/>
        <v>0</v>
      </c>
      <c r="GP45">
        <f t="shared" si="52"/>
        <v>0</v>
      </c>
      <c r="GR45">
        <v>0</v>
      </c>
      <c r="GS45">
        <v>4</v>
      </c>
      <c r="GT45">
        <v>0</v>
      </c>
      <c r="GV45">
        <f t="shared" si="53"/>
        <v>0</v>
      </c>
      <c r="GW45">
        <v>1</v>
      </c>
      <c r="GX45">
        <f t="shared" si="54"/>
        <v>0</v>
      </c>
      <c r="HA45">
        <v>0</v>
      </c>
      <c r="HB45">
        <v>0</v>
      </c>
      <c r="HC45">
        <f t="shared" si="55"/>
        <v>0</v>
      </c>
      <c r="HN45" t="s">
        <v>35</v>
      </c>
      <c r="HO45" t="s">
        <v>36</v>
      </c>
      <c r="HP45" t="s">
        <v>32</v>
      </c>
      <c r="HQ45" t="s">
        <v>32</v>
      </c>
      <c r="IK45">
        <v>0</v>
      </c>
    </row>
    <row r="46" spans="1:255" ht="12.75">
      <c r="A46" s="2">
        <v>18</v>
      </c>
      <c r="B46" s="2">
        <v>1</v>
      </c>
      <c r="C46" s="2">
        <v>65</v>
      </c>
      <c r="D46" s="2"/>
      <c r="E46" s="2" t="s">
        <v>83</v>
      </c>
      <c r="F46" s="2" t="s">
        <v>79</v>
      </c>
      <c r="G46" s="2" t="s">
        <v>84</v>
      </c>
      <c r="H46" s="2" t="s">
        <v>85</v>
      </c>
      <c r="I46" s="2">
        <f>I42*J46</f>
        <v>1</v>
      </c>
      <c r="J46" s="2">
        <v>3.861003861003861</v>
      </c>
      <c r="K46" s="2">
        <v>3.861004</v>
      </c>
      <c r="L46" s="2"/>
      <c r="M46" s="2"/>
      <c r="N46" s="2"/>
      <c r="O46" s="2">
        <f t="shared" si="21"/>
        <v>78547</v>
      </c>
      <c r="P46" s="2">
        <f t="shared" si="22"/>
        <v>78547</v>
      </c>
      <c r="Q46" s="2">
        <f t="shared" si="23"/>
        <v>0</v>
      </c>
      <c r="R46" s="2">
        <f t="shared" si="24"/>
        <v>0</v>
      </c>
      <c r="S46" s="2">
        <f t="shared" si="25"/>
        <v>0</v>
      </c>
      <c r="T46" s="2">
        <f t="shared" si="26"/>
        <v>0</v>
      </c>
      <c r="U46" s="2">
        <f t="shared" si="27"/>
        <v>0</v>
      </c>
      <c r="V46" s="2">
        <f t="shared" si="28"/>
        <v>0</v>
      </c>
      <c r="W46" s="2">
        <f t="shared" si="29"/>
        <v>0</v>
      </c>
      <c r="X46" s="2">
        <f t="shared" si="30"/>
        <v>0</v>
      </c>
      <c r="Y46" s="2">
        <f t="shared" si="31"/>
        <v>0</v>
      </c>
      <c r="Z46" s="2"/>
      <c r="AA46" s="2">
        <v>55668703</v>
      </c>
      <c r="AB46" s="2">
        <f t="shared" si="32"/>
        <v>78547</v>
      </c>
      <c r="AC46" s="2">
        <f t="shared" si="56"/>
        <v>78547</v>
      </c>
      <c r="AD46" s="2">
        <f>ROUND((((ET46)-(EU46))+AE46),2)</f>
        <v>0</v>
      </c>
      <c r="AE46" s="2">
        <f t="shared" si="61"/>
        <v>0</v>
      </c>
      <c r="AF46" s="2">
        <f t="shared" si="61"/>
        <v>0</v>
      </c>
      <c r="AG46" s="2">
        <f t="shared" si="34"/>
        <v>0</v>
      </c>
      <c r="AH46" s="2">
        <f t="shared" si="62"/>
        <v>0</v>
      </c>
      <c r="AI46" s="2">
        <f t="shared" si="62"/>
        <v>0</v>
      </c>
      <c r="AJ46" s="2">
        <f t="shared" si="36"/>
        <v>0</v>
      </c>
      <c r="AK46" s="2">
        <v>78547</v>
      </c>
      <c r="AL46" s="2">
        <v>78547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93</v>
      </c>
      <c r="AU46" s="2">
        <v>62</v>
      </c>
      <c r="AV46" s="2">
        <v>1</v>
      </c>
      <c r="AW46" s="2">
        <v>1</v>
      </c>
      <c r="AX46" s="2"/>
      <c r="AY46" s="2"/>
      <c r="AZ46" s="2">
        <v>1</v>
      </c>
      <c r="BA46" s="2">
        <v>1</v>
      </c>
      <c r="BB46" s="2">
        <v>1</v>
      </c>
      <c r="BC46" s="2">
        <v>1</v>
      </c>
      <c r="BD46" s="2" t="s">
        <v>3</v>
      </c>
      <c r="BE46" s="2" t="s">
        <v>3</v>
      </c>
      <c r="BF46" s="2" t="s">
        <v>3</v>
      </c>
      <c r="BG46" s="2" t="s">
        <v>3</v>
      </c>
      <c r="BH46" s="2">
        <v>3</v>
      </c>
      <c r="BI46" s="2">
        <v>1</v>
      </c>
      <c r="BJ46" s="2" t="s">
        <v>3</v>
      </c>
      <c r="BK46" s="2"/>
      <c r="BL46" s="2"/>
      <c r="BM46" s="2">
        <v>9001</v>
      </c>
      <c r="BN46" s="2">
        <v>0</v>
      </c>
      <c r="BO46" s="2" t="s">
        <v>3</v>
      </c>
      <c r="BP46" s="2">
        <v>0</v>
      </c>
      <c r="BQ46" s="2">
        <v>2</v>
      </c>
      <c r="BR46" s="2">
        <v>0</v>
      </c>
      <c r="BS46" s="2">
        <v>1</v>
      </c>
      <c r="BT46" s="2">
        <v>1</v>
      </c>
      <c r="BU46" s="2">
        <v>1</v>
      </c>
      <c r="BV46" s="2">
        <v>1</v>
      </c>
      <c r="BW46" s="2">
        <v>1</v>
      </c>
      <c r="BX46" s="2">
        <v>1</v>
      </c>
      <c r="BY46" s="2" t="s">
        <v>3</v>
      </c>
      <c r="BZ46" s="2">
        <v>93</v>
      </c>
      <c r="CA46" s="2">
        <v>62</v>
      </c>
      <c r="CB46" s="2" t="s">
        <v>3</v>
      </c>
      <c r="CC46" s="2"/>
      <c r="CD46" s="2"/>
      <c r="CE46" s="2">
        <v>0</v>
      </c>
      <c r="CF46" s="2">
        <v>0</v>
      </c>
      <c r="CG46" s="2">
        <v>0</v>
      </c>
      <c r="CH46" s="2"/>
      <c r="CI46" s="2"/>
      <c r="CJ46" s="2"/>
      <c r="CK46" s="2"/>
      <c r="CL46" s="2"/>
      <c r="CM46" s="2">
        <v>0</v>
      </c>
      <c r="CN46" s="2" t="s">
        <v>3</v>
      </c>
      <c r="CO46" s="2">
        <v>0</v>
      </c>
      <c r="CP46" s="2">
        <f t="shared" si="37"/>
        <v>78547</v>
      </c>
      <c r="CQ46" s="2">
        <f t="shared" si="38"/>
        <v>78547</v>
      </c>
      <c r="CR46" s="2">
        <f>(((ET46)*BB46-(EU46)*BS46)+AE46*BS46)</f>
        <v>0</v>
      </c>
      <c r="CS46" s="2">
        <f t="shared" si="39"/>
        <v>0</v>
      </c>
      <c r="CT46" s="2">
        <f t="shared" si="40"/>
        <v>0</v>
      </c>
      <c r="CU46" s="2">
        <f t="shared" si="41"/>
        <v>0</v>
      </c>
      <c r="CV46" s="2">
        <f t="shared" si="42"/>
        <v>0</v>
      </c>
      <c r="CW46" s="2">
        <f t="shared" si="43"/>
        <v>0</v>
      </c>
      <c r="CX46" s="2">
        <f t="shared" si="44"/>
        <v>0</v>
      </c>
      <c r="CY46" s="2">
        <f t="shared" si="45"/>
        <v>0</v>
      </c>
      <c r="CZ46" s="2">
        <f t="shared" si="46"/>
        <v>0</v>
      </c>
      <c r="DA46" s="2"/>
      <c r="DB46" s="2"/>
      <c r="DC46" s="2" t="s">
        <v>3</v>
      </c>
      <c r="DD46" s="2" t="s">
        <v>3</v>
      </c>
      <c r="DE46" s="2" t="s">
        <v>3</v>
      </c>
      <c r="DF46" s="2" t="s">
        <v>3</v>
      </c>
      <c r="DG46" s="2" t="s">
        <v>3</v>
      </c>
      <c r="DH46" s="2" t="s">
        <v>3</v>
      </c>
      <c r="DI46" s="2" t="s">
        <v>3</v>
      </c>
      <c r="DJ46" s="2" t="s">
        <v>3</v>
      </c>
      <c r="DK46" s="2" t="s">
        <v>3</v>
      </c>
      <c r="DL46" s="2" t="s">
        <v>3</v>
      </c>
      <c r="DM46" s="2" t="s">
        <v>3</v>
      </c>
      <c r="DN46" s="2">
        <v>0</v>
      </c>
      <c r="DO46" s="2">
        <v>0</v>
      </c>
      <c r="DP46" s="2">
        <v>1</v>
      </c>
      <c r="DQ46" s="2">
        <v>1</v>
      </c>
      <c r="DR46" s="2"/>
      <c r="DS46" s="2"/>
      <c r="DT46" s="2"/>
      <c r="DU46" s="2">
        <v>1013</v>
      </c>
      <c r="DV46" s="2" t="s">
        <v>85</v>
      </c>
      <c r="DW46" s="2" t="s">
        <v>85</v>
      </c>
      <c r="DX46" s="2">
        <v>1</v>
      </c>
      <c r="DY46" s="2"/>
      <c r="DZ46" s="2" t="s">
        <v>3</v>
      </c>
      <c r="EA46" s="2" t="s">
        <v>3</v>
      </c>
      <c r="EB46" s="2" t="s">
        <v>3</v>
      </c>
      <c r="EC46" s="2" t="s">
        <v>3</v>
      </c>
      <c r="ED46" s="2"/>
      <c r="EE46" s="2">
        <v>55471659</v>
      </c>
      <c r="EF46" s="2">
        <v>2</v>
      </c>
      <c r="EG46" s="2" t="s">
        <v>31</v>
      </c>
      <c r="EH46" s="2">
        <v>9</v>
      </c>
      <c r="EI46" s="2" t="s">
        <v>32</v>
      </c>
      <c r="EJ46" s="2">
        <v>1</v>
      </c>
      <c r="EK46" s="2">
        <v>9001</v>
      </c>
      <c r="EL46" s="2" t="s">
        <v>32</v>
      </c>
      <c r="EM46" s="2" t="s">
        <v>33</v>
      </c>
      <c r="EN46" s="2"/>
      <c r="EO46" s="2" t="s">
        <v>3</v>
      </c>
      <c r="EP46" s="2"/>
      <c r="EQ46" s="2">
        <v>0</v>
      </c>
      <c r="ER46" s="2">
        <v>0</v>
      </c>
      <c r="ES46" s="2">
        <v>78547</v>
      </c>
      <c r="ET46" s="2">
        <v>0</v>
      </c>
      <c r="EU46" s="2">
        <v>0</v>
      </c>
      <c r="EV46" s="2">
        <v>0</v>
      </c>
      <c r="EW46" s="2">
        <v>0</v>
      </c>
      <c r="EX46" s="2">
        <v>0</v>
      </c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>
        <v>0</v>
      </c>
      <c r="FR46" s="2">
        <f t="shared" si="47"/>
        <v>0</v>
      </c>
      <c r="FS46" s="2">
        <v>0</v>
      </c>
      <c r="FT46" s="2"/>
      <c r="FU46" s="2"/>
      <c r="FV46" s="2"/>
      <c r="FW46" s="2"/>
      <c r="FX46" s="2">
        <v>93</v>
      </c>
      <c r="FY46" s="2">
        <v>62</v>
      </c>
      <c r="FZ46" s="2"/>
      <c r="GA46" s="2" t="s">
        <v>82</v>
      </c>
      <c r="GB46" s="2"/>
      <c r="GC46" s="2"/>
      <c r="GD46" s="2">
        <v>1</v>
      </c>
      <c r="GE46" s="2"/>
      <c r="GF46" s="2">
        <v>-442735699</v>
      </c>
      <c r="GG46" s="2">
        <v>2</v>
      </c>
      <c r="GH46" s="2">
        <v>4</v>
      </c>
      <c r="GI46" s="2">
        <v>-2</v>
      </c>
      <c r="GJ46" s="2">
        <v>0</v>
      </c>
      <c r="GK46" s="2">
        <v>0</v>
      </c>
      <c r="GL46" s="2">
        <f t="shared" si="48"/>
        <v>0</v>
      </c>
      <c r="GM46" s="2">
        <f t="shared" si="49"/>
        <v>78547</v>
      </c>
      <c r="GN46" s="2">
        <f t="shared" si="50"/>
        <v>78547</v>
      </c>
      <c r="GO46" s="2">
        <f t="shared" si="51"/>
        <v>0</v>
      </c>
      <c r="GP46" s="2">
        <f t="shared" si="52"/>
        <v>0</v>
      </c>
      <c r="GQ46" s="2"/>
      <c r="GR46" s="2">
        <v>0</v>
      </c>
      <c r="GS46" s="2">
        <v>2</v>
      </c>
      <c r="GT46" s="2">
        <v>0</v>
      </c>
      <c r="GU46" s="2" t="s">
        <v>3</v>
      </c>
      <c r="GV46" s="2">
        <f t="shared" si="53"/>
        <v>0</v>
      </c>
      <c r="GW46" s="2">
        <v>1</v>
      </c>
      <c r="GX46" s="2">
        <f t="shared" si="54"/>
        <v>0</v>
      </c>
      <c r="GY46" s="2"/>
      <c r="GZ46" s="2"/>
      <c r="HA46" s="2">
        <v>0</v>
      </c>
      <c r="HB46" s="2">
        <v>0</v>
      </c>
      <c r="HC46" s="2">
        <f t="shared" si="55"/>
        <v>0</v>
      </c>
      <c r="HD46" s="2"/>
      <c r="HE46" s="2" t="s">
        <v>3</v>
      </c>
      <c r="HF46" s="2" t="s">
        <v>3</v>
      </c>
      <c r="HG46" s="2"/>
      <c r="HH46" s="2"/>
      <c r="HI46" s="2"/>
      <c r="HJ46" s="2"/>
      <c r="HK46" s="2"/>
      <c r="HL46" s="2"/>
      <c r="HM46" s="2" t="s">
        <v>3</v>
      </c>
      <c r="HN46" s="2" t="s">
        <v>35</v>
      </c>
      <c r="HO46" s="2" t="s">
        <v>36</v>
      </c>
      <c r="HP46" s="2" t="s">
        <v>32</v>
      </c>
      <c r="HQ46" s="2" t="s">
        <v>32</v>
      </c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>
        <v>0</v>
      </c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:245" ht="12.75">
      <c r="A47">
        <v>18</v>
      </c>
      <c r="B47">
        <v>1</v>
      </c>
      <c r="C47">
        <v>76</v>
      </c>
      <c r="E47" t="s">
        <v>83</v>
      </c>
      <c r="F47" t="s">
        <v>79</v>
      </c>
      <c r="G47" t="s">
        <v>84</v>
      </c>
      <c r="H47" t="s">
        <v>85</v>
      </c>
      <c r="I47">
        <f>I43*J47</f>
        <v>1</v>
      </c>
      <c r="J47">
        <v>3.861003861003861</v>
      </c>
      <c r="K47">
        <v>3.861004</v>
      </c>
      <c r="O47">
        <f t="shared" si="21"/>
        <v>78547</v>
      </c>
      <c r="P47">
        <f t="shared" si="22"/>
        <v>78547</v>
      </c>
      <c r="Q47">
        <f t="shared" si="23"/>
        <v>0</v>
      </c>
      <c r="R47">
        <f t="shared" si="24"/>
        <v>0</v>
      </c>
      <c r="S47">
        <f t="shared" si="25"/>
        <v>0</v>
      </c>
      <c r="T47">
        <f t="shared" si="26"/>
        <v>0</v>
      </c>
      <c r="U47">
        <f t="shared" si="27"/>
        <v>0</v>
      </c>
      <c r="V47">
        <f t="shared" si="28"/>
        <v>0</v>
      </c>
      <c r="W47">
        <f t="shared" si="29"/>
        <v>0</v>
      </c>
      <c r="X47">
        <f t="shared" si="30"/>
        <v>0</v>
      </c>
      <c r="Y47">
        <f t="shared" si="31"/>
        <v>0</v>
      </c>
      <c r="AA47">
        <v>55668704</v>
      </c>
      <c r="AB47">
        <f t="shared" si="32"/>
        <v>78547</v>
      </c>
      <c r="AC47">
        <f t="shared" si="56"/>
        <v>78547</v>
      </c>
      <c r="AD47">
        <f>ROUND((((ET47)-(EU47))+AE47),2)</f>
        <v>0</v>
      </c>
      <c r="AE47">
        <f t="shared" si="61"/>
        <v>0</v>
      </c>
      <c r="AF47">
        <f t="shared" si="61"/>
        <v>0</v>
      </c>
      <c r="AG47">
        <f t="shared" si="34"/>
        <v>0</v>
      </c>
      <c r="AH47">
        <f t="shared" si="62"/>
        <v>0</v>
      </c>
      <c r="AI47">
        <f t="shared" si="62"/>
        <v>0</v>
      </c>
      <c r="AJ47">
        <f t="shared" si="36"/>
        <v>0</v>
      </c>
      <c r="AK47">
        <v>78547</v>
      </c>
      <c r="AL47">
        <v>78547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93</v>
      </c>
      <c r="AU47">
        <v>62</v>
      </c>
      <c r="AV47">
        <v>1</v>
      </c>
      <c r="AW47">
        <v>1</v>
      </c>
      <c r="AZ47">
        <v>1</v>
      </c>
      <c r="BA47">
        <v>1</v>
      </c>
      <c r="BB47">
        <v>1</v>
      </c>
      <c r="BC47">
        <v>1</v>
      </c>
      <c r="BH47">
        <v>3</v>
      </c>
      <c r="BI47">
        <v>1</v>
      </c>
      <c r="BM47">
        <v>9001</v>
      </c>
      <c r="BN47">
        <v>0</v>
      </c>
      <c r="BP47">
        <v>0</v>
      </c>
      <c r="BQ47">
        <v>2</v>
      </c>
      <c r="BR47">
        <v>0</v>
      </c>
      <c r="BS47">
        <v>1</v>
      </c>
      <c r="BT47">
        <v>1</v>
      </c>
      <c r="BU47">
        <v>1</v>
      </c>
      <c r="BV47">
        <v>1</v>
      </c>
      <c r="BW47">
        <v>1</v>
      </c>
      <c r="BX47">
        <v>1</v>
      </c>
      <c r="BZ47">
        <v>93</v>
      </c>
      <c r="CA47">
        <v>62</v>
      </c>
      <c r="CE47">
        <v>0</v>
      </c>
      <c r="CF47">
        <v>0</v>
      </c>
      <c r="CG47">
        <v>0</v>
      </c>
      <c r="CM47">
        <v>0</v>
      </c>
      <c r="CO47">
        <v>0</v>
      </c>
      <c r="CP47">
        <f t="shared" si="37"/>
        <v>78547</v>
      </c>
      <c r="CQ47">
        <f t="shared" si="38"/>
        <v>78547</v>
      </c>
      <c r="CR47">
        <f>(((ET47)*BB47-(EU47)*BS47)+AE47*BS47)</f>
        <v>0</v>
      </c>
      <c r="CS47">
        <f t="shared" si="39"/>
        <v>0</v>
      </c>
      <c r="CT47">
        <f t="shared" si="40"/>
        <v>0</v>
      </c>
      <c r="CU47">
        <f t="shared" si="41"/>
        <v>0</v>
      </c>
      <c r="CV47">
        <f t="shared" si="42"/>
        <v>0</v>
      </c>
      <c r="CW47">
        <f t="shared" si="43"/>
        <v>0</v>
      </c>
      <c r="CX47">
        <f t="shared" si="44"/>
        <v>0</v>
      </c>
      <c r="CY47">
        <f t="shared" si="45"/>
        <v>0</v>
      </c>
      <c r="CZ47">
        <f t="shared" si="46"/>
        <v>0</v>
      </c>
      <c r="DN47">
        <v>0</v>
      </c>
      <c r="DO47">
        <v>0</v>
      </c>
      <c r="DP47">
        <v>1</v>
      </c>
      <c r="DQ47">
        <v>1</v>
      </c>
      <c r="DU47">
        <v>1013</v>
      </c>
      <c r="DV47" t="s">
        <v>85</v>
      </c>
      <c r="DW47" t="s">
        <v>85</v>
      </c>
      <c r="DX47">
        <v>1</v>
      </c>
      <c r="EE47">
        <v>55471659</v>
      </c>
      <c r="EF47">
        <v>2</v>
      </c>
      <c r="EG47" t="s">
        <v>31</v>
      </c>
      <c r="EH47">
        <v>9</v>
      </c>
      <c r="EI47" t="s">
        <v>32</v>
      </c>
      <c r="EJ47">
        <v>1</v>
      </c>
      <c r="EK47">
        <v>9001</v>
      </c>
      <c r="EL47" t="s">
        <v>32</v>
      </c>
      <c r="EM47" t="s">
        <v>33</v>
      </c>
      <c r="EQ47">
        <v>0</v>
      </c>
      <c r="ER47">
        <v>0</v>
      </c>
      <c r="ES47">
        <v>78547</v>
      </c>
      <c r="ET47">
        <v>0</v>
      </c>
      <c r="EU47">
        <v>0</v>
      </c>
      <c r="EV47">
        <v>0</v>
      </c>
      <c r="EW47">
        <v>0</v>
      </c>
      <c r="EX47">
        <v>0</v>
      </c>
      <c r="FQ47">
        <v>0</v>
      </c>
      <c r="FR47">
        <f t="shared" si="47"/>
        <v>0</v>
      </c>
      <c r="FS47">
        <v>0</v>
      </c>
      <c r="FX47">
        <v>93</v>
      </c>
      <c r="FY47">
        <v>62</v>
      </c>
      <c r="GA47" t="s">
        <v>82</v>
      </c>
      <c r="GD47">
        <v>1</v>
      </c>
      <c r="GF47">
        <v>-442735699</v>
      </c>
      <c r="GG47">
        <v>2</v>
      </c>
      <c r="GH47">
        <v>2</v>
      </c>
      <c r="GI47">
        <v>3</v>
      </c>
      <c r="GJ47">
        <v>0</v>
      </c>
      <c r="GK47">
        <v>0</v>
      </c>
      <c r="GL47">
        <f t="shared" si="48"/>
        <v>0</v>
      </c>
      <c r="GM47">
        <f t="shared" si="49"/>
        <v>78547</v>
      </c>
      <c r="GN47">
        <f t="shared" si="50"/>
        <v>78547</v>
      </c>
      <c r="GO47">
        <f t="shared" si="51"/>
        <v>0</v>
      </c>
      <c r="GP47">
        <f t="shared" si="52"/>
        <v>0</v>
      </c>
      <c r="GR47">
        <v>0</v>
      </c>
      <c r="GS47">
        <v>4</v>
      </c>
      <c r="GT47">
        <v>0</v>
      </c>
      <c r="GV47">
        <f t="shared" si="53"/>
        <v>0</v>
      </c>
      <c r="GW47">
        <v>1</v>
      </c>
      <c r="GX47">
        <f t="shared" si="54"/>
        <v>0</v>
      </c>
      <c r="HA47">
        <v>0</v>
      </c>
      <c r="HB47">
        <v>0</v>
      </c>
      <c r="HC47">
        <f t="shared" si="55"/>
        <v>0</v>
      </c>
      <c r="HN47" t="s">
        <v>35</v>
      </c>
      <c r="HO47" t="s">
        <v>36</v>
      </c>
      <c r="HP47" t="s">
        <v>32</v>
      </c>
      <c r="HQ47" t="s">
        <v>32</v>
      </c>
      <c r="IK47">
        <v>0</v>
      </c>
    </row>
    <row r="48" spans="1:255" ht="12.75">
      <c r="A48" s="2">
        <v>17</v>
      </c>
      <c r="B48" s="2">
        <v>1</v>
      </c>
      <c r="C48" s="2">
        <f>ROW(SmtRes!A79)</f>
        <v>79</v>
      </c>
      <c r="D48" s="2">
        <f>ROW(EtalonRes!A91)</f>
        <v>91</v>
      </c>
      <c r="E48" s="2" t="s">
        <v>86</v>
      </c>
      <c r="F48" s="2" t="s">
        <v>87</v>
      </c>
      <c r="G48" s="2" t="s">
        <v>88</v>
      </c>
      <c r="H48" s="2" t="s">
        <v>89</v>
      </c>
      <c r="I48" s="2">
        <f>ROUND(67.7/100,7)</f>
        <v>0.677</v>
      </c>
      <c r="J48" s="2">
        <v>0</v>
      </c>
      <c r="K48" s="2">
        <f>ROUND(67.7/100,7)</f>
        <v>0.677</v>
      </c>
      <c r="L48" s="2"/>
      <c r="M48" s="2"/>
      <c r="N48" s="2"/>
      <c r="O48" s="2">
        <f t="shared" si="21"/>
        <v>326.97</v>
      </c>
      <c r="P48" s="2">
        <f t="shared" si="22"/>
        <v>93.24</v>
      </c>
      <c r="Q48" s="2">
        <f t="shared" si="23"/>
        <v>0</v>
      </c>
      <c r="R48" s="2">
        <f t="shared" si="24"/>
        <v>0</v>
      </c>
      <c r="S48" s="2">
        <f t="shared" si="25"/>
        <v>233.73</v>
      </c>
      <c r="T48" s="2">
        <f t="shared" si="26"/>
        <v>0</v>
      </c>
      <c r="U48" s="2">
        <f t="shared" si="27"/>
        <v>25.770005</v>
      </c>
      <c r="V48" s="2">
        <f t="shared" si="28"/>
        <v>0</v>
      </c>
      <c r="W48" s="2">
        <f t="shared" si="29"/>
        <v>0</v>
      </c>
      <c r="X48" s="2">
        <f t="shared" si="30"/>
        <v>217.37</v>
      </c>
      <c r="Y48" s="2">
        <f t="shared" si="31"/>
        <v>123.18</v>
      </c>
      <c r="Z48" s="2"/>
      <c r="AA48" s="2">
        <v>55668703</v>
      </c>
      <c r="AB48" s="2">
        <f t="shared" si="32"/>
        <v>482.98</v>
      </c>
      <c r="AC48" s="2">
        <f t="shared" si="56"/>
        <v>137.73</v>
      </c>
      <c r="AD48" s="2">
        <f>ROUND(((((ET48*ROUND(1.25,7)))-((EU48*ROUND(1.25,7))))+AE48),2)</f>
        <v>0</v>
      </c>
      <c r="AE48" s="2">
        <f>ROUND(((EU48*ROUND(1.25,7))),2)</f>
        <v>0</v>
      </c>
      <c r="AF48" s="2">
        <f>ROUND(((EV48*ROUND(1.15,7))),2)</f>
        <v>345.25</v>
      </c>
      <c r="AG48" s="2">
        <f t="shared" si="34"/>
        <v>0</v>
      </c>
      <c r="AH48" s="2">
        <f>((EW48*ROUND(1.15,7)))</f>
        <v>38.065</v>
      </c>
      <c r="AI48" s="2">
        <f>((EX48*ROUND(1.25,7)))</f>
        <v>0</v>
      </c>
      <c r="AJ48" s="2">
        <f t="shared" si="36"/>
        <v>0</v>
      </c>
      <c r="AK48" s="2">
        <v>437.95</v>
      </c>
      <c r="AL48" s="2">
        <v>137.73</v>
      </c>
      <c r="AM48" s="2">
        <v>0</v>
      </c>
      <c r="AN48" s="2">
        <v>0</v>
      </c>
      <c r="AO48" s="2">
        <v>300.22</v>
      </c>
      <c r="AP48" s="2">
        <v>0</v>
      </c>
      <c r="AQ48" s="2">
        <v>33.1</v>
      </c>
      <c r="AR48" s="2">
        <v>0</v>
      </c>
      <c r="AS48" s="2">
        <v>0</v>
      </c>
      <c r="AT48" s="2">
        <v>93</v>
      </c>
      <c r="AU48" s="2">
        <v>52.7</v>
      </c>
      <c r="AV48" s="2">
        <v>1</v>
      </c>
      <c r="AW48" s="2">
        <v>1</v>
      </c>
      <c r="AX48" s="2"/>
      <c r="AY48" s="2"/>
      <c r="AZ48" s="2">
        <v>1</v>
      </c>
      <c r="BA48" s="2">
        <v>1</v>
      </c>
      <c r="BB48" s="2">
        <v>1</v>
      </c>
      <c r="BC48" s="2">
        <v>1</v>
      </c>
      <c r="BD48" s="2" t="s">
        <v>3</v>
      </c>
      <c r="BE48" s="2" t="s">
        <v>3</v>
      </c>
      <c r="BF48" s="2" t="s">
        <v>3</v>
      </c>
      <c r="BG48" s="2" t="s">
        <v>3</v>
      </c>
      <c r="BH48" s="2">
        <v>0</v>
      </c>
      <c r="BI48" s="2">
        <v>1</v>
      </c>
      <c r="BJ48" s="2" t="s">
        <v>90</v>
      </c>
      <c r="BK48" s="2"/>
      <c r="BL48" s="2"/>
      <c r="BM48" s="2">
        <v>9001</v>
      </c>
      <c r="BN48" s="2">
        <v>0</v>
      </c>
      <c r="BO48" s="2" t="s">
        <v>3</v>
      </c>
      <c r="BP48" s="2">
        <v>0</v>
      </c>
      <c r="BQ48" s="2">
        <v>2</v>
      </c>
      <c r="BR48" s="2">
        <v>0</v>
      </c>
      <c r="BS48" s="2">
        <v>1</v>
      </c>
      <c r="BT48" s="2">
        <v>1</v>
      </c>
      <c r="BU48" s="2">
        <v>1</v>
      </c>
      <c r="BV48" s="2">
        <v>1</v>
      </c>
      <c r="BW48" s="2">
        <v>1</v>
      </c>
      <c r="BX48" s="2">
        <v>1</v>
      </c>
      <c r="BY48" s="2" t="s">
        <v>3</v>
      </c>
      <c r="BZ48" s="2">
        <v>93</v>
      </c>
      <c r="CA48" s="2">
        <v>62</v>
      </c>
      <c r="CB48" s="2" t="s">
        <v>3</v>
      </c>
      <c r="CC48" s="2"/>
      <c r="CD48" s="2"/>
      <c r="CE48" s="2">
        <v>0</v>
      </c>
      <c r="CF48" s="2">
        <v>0</v>
      </c>
      <c r="CG48" s="2">
        <v>0</v>
      </c>
      <c r="CH48" s="2"/>
      <c r="CI48" s="2"/>
      <c r="CJ48" s="2"/>
      <c r="CK48" s="2"/>
      <c r="CL48" s="2"/>
      <c r="CM48" s="2">
        <v>0</v>
      </c>
      <c r="CN48" s="2" t="s">
        <v>385</v>
      </c>
      <c r="CO48" s="2">
        <v>0</v>
      </c>
      <c r="CP48" s="2">
        <f t="shared" si="37"/>
        <v>326.96999999999997</v>
      </c>
      <c r="CQ48" s="2">
        <f t="shared" si="38"/>
        <v>137.73</v>
      </c>
      <c r="CR48" s="2">
        <f>((((ET48*ROUND(1.25,7)))*BB48-((EU48*ROUND(1.25,7)))*BS48)+AE48*BS48)</f>
        <v>0</v>
      </c>
      <c r="CS48" s="2">
        <f t="shared" si="39"/>
        <v>0</v>
      </c>
      <c r="CT48" s="2">
        <f t="shared" si="40"/>
        <v>345.25</v>
      </c>
      <c r="CU48" s="2">
        <f t="shared" si="41"/>
        <v>0</v>
      </c>
      <c r="CV48" s="2">
        <f t="shared" si="42"/>
        <v>38.065</v>
      </c>
      <c r="CW48" s="2">
        <f t="shared" si="43"/>
        <v>0</v>
      </c>
      <c r="CX48" s="2">
        <f t="shared" si="44"/>
        <v>0</v>
      </c>
      <c r="CY48" s="2">
        <f t="shared" si="45"/>
        <v>217.3689</v>
      </c>
      <c r="CZ48" s="2">
        <f t="shared" si="46"/>
        <v>123.17571</v>
      </c>
      <c r="DA48" s="2"/>
      <c r="DB48" s="2"/>
      <c r="DC48" s="2" t="s">
        <v>3</v>
      </c>
      <c r="DD48" s="2" t="s">
        <v>3</v>
      </c>
      <c r="DE48" s="2" t="s">
        <v>72</v>
      </c>
      <c r="DF48" s="2" t="s">
        <v>72</v>
      </c>
      <c r="DG48" s="2" t="s">
        <v>73</v>
      </c>
      <c r="DH48" s="2" t="s">
        <v>3</v>
      </c>
      <c r="DI48" s="2" t="s">
        <v>73</v>
      </c>
      <c r="DJ48" s="2" t="s">
        <v>72</v>
      </c>
      <c r="DK48" s="2" t="s">
        <v>3</v>
      </c>
      <c r="DL48" s="2" t="s">
        <v>3</v>
      </c>
      <c r="DM48" s="2" t="s">
        <v>74</v>
      </c>
      <c r="DN48" s="2">
        <v>0</v>
      </c>
      <c r="DO48" s="2">
        <v>0</v>
      </c>
      <c r="DP48" s="2">
        <v>1</v>
      </c>
      <c r="DQ48" s="2">
        <v>1</v>
      </c>
      <c r="DR48" s="2"/>
      <c r="DS48" s="2"/>
      <c r="DT48" s="2"/>
      <c r="DU48" s="2">
        <v>1003</v>
      </c>
      <c r="DV48" s="2" t="s">
        <v>89</v>
      </c>
      <c r="DW48" s="2" t="s">
        <v>89</v>
      </c>
      <c r="DX48" s="2">
        <v>100</v>
      </c>
      <c r="DY48" s="2"/>
      <c r="DZ48" s="2" t="s">
        <v>3</v>
      </c>
      <c r="EA48" s="2" t="s">
        <v>3</v>
      </c>
      <c r="EB48" s="2" t="s">
        <v>3</v>
      </c>
      <c r="EC48" s="2" t="s">
        <v>3</v>
      </c>
      <c r="ED48" s="2"/>
      <c r="EE48" s="2">
        <v>55471659</v>
      </c>
      <c r="EF48" s="2">
        <v>2</v>
      </c>
      <c r="EG48" s="2" t="s">
        <v>31</v>
      </c>
      <c r="EH48" s="2">
        <v>9</v>
      </c>
      <c r="EI48" s="2" t="s">
        <v>32</v>
      </c>
      <c r="EJ48" s="2">
        <v>1</v>
      </c>
      <c r="EK48" s="2">
        <v>9001</v>
      </c>
      <c r="EL48" s="2" t="s">
        <v>32</v>
      </c>
      <c r="EM48" s="2" t="s">
        <v>33</v>
      </c>
      <c r="EN48" s="2"/>
      <c r="EO48" s="2" t="s">
        <v>75</v>
      </c>
      <c r="EP48" s="2"/>
      <c r="EQ48" s="2">
        <v>0</v>
      </c>
      <c r="ER48" s="2">
        <v>437.95</v>
      </c>
      <c r="ES48" s="2">
        <v>137.73</v>
      </c>
      <c r="ET48" s="2">
        <v>0</v>
      </c>
      <c r="EU48" s="2">
        <v>0</v>
      </c>
      <c r="EV48" s="2">
        <v>300.22</v>
      </c>
      <c r="EW48" s="2">
        <v>33.1</v>
      </c>
      <c r="EX48" s="2">
        <v>0</v>
      </c>
      <c r="EY48" s="2">
        <v>0</v>
      </c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>
        <v>0</v>
      </c>
      <c r="FR48" s="2">
        <f t="shared" si="47"/>
        <v>0</v>
      </c>
      <c r="FS48" s="2">
        <v>0</v>
      </c>
      <c r="FT48" s="2"/>
      <c r="FU48" s="2"/>
      <c r="FV48" s="2"/>
      <c r="FW48" s="2"/>
      <c r="FX48" s="2">
        <v>93</v>
      </c>
      <c r="FY48" s="2">
        <v>52.7</v>
      </c>
      <c r="FZ48" s="2"/>
      <c r="GA48" s="2" t="s">
        <v>3</v>
      </c>
      <c r="GB48" s="2"/>
      <c r="GC48" s="2"/>
      <c r="GD48" s="2">
        <v>1</v>
      </c>
      <c r="GE48" s="2"/>
      <c r="GF48" s="2">
        <v>977329344</v>
      </c>
      <c r="GG48" s="2">
        <v>2</v>
      </c>
      <c r="GH48" s="2">
        <v>1</v>
      </c>
      <c r="GI48" s="2">
        <v>-2</v>
      </c>
      <c r="GJ48" s="2">
        <v>0</v>
      </c>
      <c r="GK48" s="2">
        <v>0</v>
      </c>
      <c r="GL48" s="2">
        <f t="shared" si="48"/>
        <v>0</v>
      </c>
      <c r="GM48" s="2">
        <f t="shared" si="49"/>
        <v>667.52</v>
      </c>
      <c r="GN48" s="2">
        <f t="shared" si="50"/>
        <v>667.52</v>
      </c>
      <c r="GO48" s="2">
        <f t="shared" si="51"/>
        <v>0</v>
      </c>
      <c r="GP48" s="2">
        <f t="shared" si="52"/>
        <v>0</v>
      </c>
      <c r="GQ48" s="2"/>
      <c r="GR48" s="2">
        <v>0</v>
      </c>
      <c r="GS48" s="2">
        <v>3</v>
      </c>
      <c r="GT48" s="2">
        <v>0</v>
      </c>
      <c r="GU48" s="2" t="s">
        <v>3</v>
      </c>
      <c r="GV48" s="2">
        <f t="shared" si="53"/>
        <v>0</v>
      </c>
      <c r="GW48" s="2">
        <v>1</v>
      </c>
      <c r="GX48" s="2">
        <f t="shared" si="54"/>
        <v>0</v>
      </c>
      <c r="GY48" s="2"/>
      <c r="GZ48" s="2"/>
      <c r="HA48" s="2">
        <v>0</v>
      </c>
      <c r="HB48" s="2">
        <v>0</v>
      </c>
      <c r="HC48" s="2">
        <f t="shared" si="55"/>
        <v>0</v>
      </c>
      <c r="HD48" s="2"/>
      <c r="HE48" s="2" t="s">
        <v>3</v>
      </c>
      <c r="HF48" s="2" t="s">
        <v>3</v>
      </c>
      <c r="HG48" s="2"/>
      <c r="HH48" s="2"/>
      <c r="HI48" s="2"/>
      <c r="HJ48" s="2"/>
      <c r="HK48" s="2"/>
      <c r="HL48" s="2"/>
      <c r="HM48" s="2" t="s">
        <v>3</v>
      </c>
      <c r="HN48" s="2" t="s">
        <v>35</v>
      </c>
      <c r="HO48" s="2" t="s">
        <v>36</v>
      </c>
      <c r="HP48" s="2" t="s">
        <v>32</v>
      </c>
      <c r="HQ48" s="2" t="s">
        <v>32</v>
      </c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>
        <v>0</v>
      </c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:245" ht="12.75">
      <c r="A49">
        <v>17</v>
      </c>
      <c r="B49">
        <v>1</v>
      </c>
      <c r="C49">
        <f>ROW(SmtRes!A82)</f>
        <v>82</v>
      </c>
      <c r="D49">
        <f>ROW(EtalonRes!A94)</f>
        <v>94</v>
      </c>
      <c r="E49" t="s">
        <v>86</v>
      </c>
      <c r="F49" t="s">
        <v>87</v>
      </c>
      <c r="G49" t="s">
        <v>88</v>
      </c>
      <c r="H49" t="s">
        <v>89</v>
      </c>
      <c r="I49">
        <f>ROUND(67.7/100,7)</f>
        <v>0.677</v>
      </c>
      <c r="J49">
        <v>0</v>
      </c>
      <c r="K49">
        <f>ROUND(67.7/100,7)</f>
        <v>0.677</v>
      </c>
      <c r="O49">
        <f t="shared" si="21"/>
        <v>9354.23</v>
      </c>
      <c r="P49">
        <f t="shared" si="22"/>
        <v>626.59</v>
      </c>
      <c r="Q49">
        <f t="shared" si="23"/>
        <v>0</v>
      </c>
      <c r="R49">
        <f t="shared" si="24"/>
        <v>0</v>
      </c>
      <c r="S49">
        <f t="shared" si="25"/>
        <v>8727.64</v>
      </c>
      <c r="T49">
        <f t="shared" si="26"/>
        <v>0</v>
      </c>
      <c r="U49">
        <f t="shared" si="27"/>
        <v>25.770005</v>
      </c>
      <c r="V49">
        <f t="shared" si="28"/>
        <v>0</v>
      </c>
      <c r="W49">
        <f t="shared" si="29"/>
        <v>0</v>
      </c>
      <c r="X49">
        <f t="shared" si="30"/>
        <v>8116.71</v>
      </c>
      <c r="Y49">
        <f t="shared" si="31"/>
        <v>4599.47</v>
      </c>
      <c r="AA49">
        <v>55668704</v>
      </c>
      <c r="AB49">
        <f t="shared" si="32"/>
        <v>482.98</v>
      </c>
      <c r="AC49">
        <f t="shared" si="56"/>
        <v>137.73</v>
      </c>
      <c r="AD49">
        <f>ROUND(((((ET49*ROUND(1.25,7)))-((EU49*ROUND(1.25,7))))+AE49),2)</f>
        <v>0</v>
      </c>
      <c r="AE49">
        <f>ROUND(((EU49*ROUND(1.25,7))),2)</f>
        <v>0</v>
      </c>
      <c r="AF49">
        <f>ROUND(((EV49*ROUND(1.15,7))),2)</f>
        <v>345.25</v>
      </c>
      <c r="AG49">
        <f t="shared" si="34"/>
        <v>0</v>
      </c>
      <c r="AH49">
        <f>((EW49*ROUND(1.15,7)))</f>
        <v>38.065</v>
      </c>
      <c r="AI49">
        <f>((EX49*ROUND(1.25,7)))</f>
        <v>0</v>
      </c>
      <c r="AJ49">
        <f t="shared" si="36"/>
        <v>0</v>
      </c>
      <c r="AK49">
        <v>437.95</v>
      </c>
      <c r="AL49">
        <v>137.73</v>
      </c>
      <c r="AM49">
        <v>0</v>
      </c>
      <c r="AN49">
        <v>0</v>
      </c>
      <c r="AO49">
        <v>300.22</v>
      </c>
      <c r="AP49">
        <v>0</v>
      </c>
      <c r="AQ49">
        <v>33.1</v>
      </c>
      <c r="AR49">
        <v>0</v>
      </c>
      <c r="AS49">
        <v>0</v>
      </c>
      <c r="AT49">
        <v>93</v>
      </c>
      <c r="AU49">
        <v>52.7</v>
      </c>
      <c r="AV49">
        <v>1</v>
      </c>
      <c r="AW49">
        <v>1</v>
      </c>
      <c r="AZ49">
        <v>1</v>
      </c>
      <c r="BA49">
        <v>37.34</v>
      </c>
      <c r="BB49">
        <v>13.24</v>
      </c>
      <c r="BC49">
        <v>6.72</v>
      </c>
      <c r="BH49">
        <v>0</v>
      </c>
      <c r="BI49">
        <v>1</v>
      </c>
      <c r="BJ49" t="s">
        <v>90</v>
      </c>
      <c r="BM49">
        <v>9001</v>
      </c>
      <c r="BN49">
        <v>0</v>
      </c>
      <c r="BO49" t="s">
        <v>37</v>
      </c>
      <c r="BP49">
        <v>1</v>
      </c>
      <c r="BQ49">
        <v>2</v>
      </c>
      <c r="BR49">
        <v>0</v>
      </c>
      <c r="BS49">
        <v>37.34</v>
      </c>
      <c r="BT49">
        <v>1</v>
      </c>
      <c r="BU49">
        <v>1</v>
      </c>
      <c r="BV49">
        <v>1</v>
      </c>
      <c r="BW49">
        <v>1</v>
      </c>
      <c r="BX49">
        <v>1</v>
      </c>
      <c r="BZ49">
        <v>93</v>
      </c>
      <c r="CA49">
        <v>62</v>
      </c>
      <c r="CE49">
        <v>0</v>
      </c>
      <c r="CF49">
        <v>0</v>
      </c>
      <c r="CG49">
        <v>0</v>
      </c>
      <c r="CM49">
        <v>0</v>
      </c>
      <c r="CN49" t="s">
        <v>385</v>
      </c>
      <c r="CO49">
        <v>0</v>
      </c>
      <c r="CP49">
        <f t="shared" si="37"/>
        <v>9354.23</v>
      </c>
      <c r="CQ49">
        <f t="shared" si="38"/>
        <v>925.5455999999999</v>
      </c>
      <c r="CR49">
        <f>((((ET49*ROUND(1.25,7)))*BB49-((EU49*ROUND(1.25,7)))*BS49)+AE49*BS49)</f>
        <v>0</v>
      </c>
      <c r="CS49">
        <f t="shared" si="39"/>
        <v>0</v>
      </c>
      <c r="CT49">
        <f t="shared" si="40"/>
        <v>12891.635000000002</v>
      </c>
      <c r="CU49">
        <f t="shared" si="41"/>
        <v>0</v>
      </c>
      <c r="CV49">
        <f t="shared" si="42"/>
        <v>38.065</v>
      </c>
      <c r="CW49">
        <f t="shared" si="43"/>
        <v>0</v>
      </c>
      <c r="CX49">
        <f t="shared" si="44"/>
        <v>0</v>
      </c>
      <c r="CY49">
        <f t="shared" si="45"/>
        <v>8116.705199999999</v>
      </c>
      <c r="CZ49">
        <f t="shared" si="46"/>
        <v>4599.46628</v>
      </c>
      <c r="DE49" t="s">
        <v>72</v>
      </c>
      <c r="DF49" t="s">
        <v>72</v>
      </c>
      <c r="DG49" t="s">
        <v>73</v>
      </c>
      <c r="DI49" t="s">
        <v>73</v>
      </c>
      <c r="DJ49" t="s">
        <v>72</v>
      </c>
      <c r="DM49" t="s">
        <v>74</v>
      </c>
      <c r="DN49">
        <v>0</v>
      </c>
      <c r="DO49">
        <v>0</v>
      </c>
      <c r="DP49">
        <v>1</v>
      </c>
      <c r="DQ49">
        <v>1</v>
      </c>
      <c r="DU49">
        <v>1003</v>
      </c>
      <c r="DV49" t="s">
        <v>89</v>
      </c>
      <c r="DW49" t="s">
        <v>89</v>
      </c>
      <c r="DX49">
        <v>100</v>
      </c>
      <c r="EE49">
        <v>55471659</v>
      </c>
      <c r="EF49">
        <v>2</v>
      </c>
      <c r="EG49" t="s">
        <v>31</v>
      </c>
      <c r="EH49">
        <v>9</v>
      </c>
      <c r="EI49" t="s">
        <v>32</v>
      </c>
      <c r="EJ49">
        <v>1</v>
      </c>
      <c r="EK49">
        <v>9001</v>
      </c>
      <c r="EL49" t="s">
        <v>32</v>
      </c>
      <c r="EM49" t="s">
        <v>33</v>
      </c>
      <c r="EO49" t="s">
        <v>75</v>
      </c>
      <c r="EQ49">
        <v>0</v>
      </c>
      <c r="ER49">
        <v>437.95</v>
      </c>
      <c r="ES49">
        <v>137.73</v>
      </c>
      <c r="ET49">
        <v>0</v>
      </c>
      <c r="EU49">
        <v>0</v>
      </c>
      <c r="EV49">
        <v>300.22</v>
      </c>
      <c r="EW49">
        <v>33.1</v>
      </c>
      <c r="EX49">
        <v>0</v>
      </c>
      <c r="EY49">
        <v>0</v>
      </c>
      <c r="FQ49">
        <v>0</v>
      </c>
      <c r="FR49">
        <f t="shared" si="47"/>
        <v>0</v>
      </c>
      <c r="FS49">
        <v>0</v>
      </c>
      <c r="FX49">
        <v>93</v>
      </c>
      <c r="FY49">
        <v>52.7</v>
      </c>
      <c r="GD49">
        <v>1</v>
      </c>
      <c r="GF49">
        <v>977329344</v>
      </c>
      <c r="GG49">
        <v>2</v>
      </c>
      <c r="GH49">
        <v>1</v>
      </c>
      <c r="GI49">
        <v>4</v>
      </c>
      <c r="GJ49">
        <v>0</v>
      </c>
      <c r="GK49">
        <v>0</v>
      </c>
      <c r="GL49">
        <f t="shared" si="48"/>
        <v>0</v>
      </c>
      <c r="GM49">
        <f t="shared" si="49"/>
        <v>22070.41</v>
      </c>
      <c r="GN49">
        <f t="shared" si="50"/>
        <v>22070.41</v>
      </c>
      <c r="GO49">
        <f t="shared" si="51"/>
        <v>0</v>
      </c>
      <c r="GP49">
        <f t="shared" si="52"/>
        <v>0</v>
      </c>
      <c r="GR49">
        <v>0</v>
      </c>
      <c r="GS49">
        <v>3</v>
      </c>
      <c r="GT49">
        <v>0</v>
      </c>
      <c r="GV49">
        <f t="shared" si="53"/>
        <v>0</v>
      </c>
      <c r="GW49">
        <v>1</v>
      </c>
      <c r="GX49">
        <f t="shared" si="54"/>
        <v>0</v>
      </c>
      <c r="HA49">
        <v>0</v>
      </c>
      <c r="HB49">
        <v>0</v>
      </c>
      <c r="HC49">
        <f t="shared" si="55"/>
        <v>0</v>
      </c>
      <c r="HN49" t="s">
        <v>35</v>
      </c>
      <c r="HO49" t="s">
        <v>36</v>
      </c>
      <c r="HP49" t="s">
        <v>32</v>
      </c>
      <c r="HQ49" t="s">
        <v>32</v>
      </c>
      <c r="IK49">
        <v>0</v>
      </c>
    </row>
    <row r="50" spans="1:255" ht="12.75">
      <c r="A50" s="2">
        <v>18</v>
      </c>
      <c r="B50" s="2">
        <v>1</v>
      </c>
      <c r="C50" s="2">
        <v>79</v>
      </c>
      <c r="D50" s="2"/>
      <c r="E50" s="2" t="s">
        <v>91</v>
      </c>
      <c r="F50" s="2" t="s">
        <v>79</v>
      </c>
      <c r="G50" s="2" t="s">
        <v>92</v>
      </c>
      <c r="H50" s="2" t="s">
        <v>93</v>
      </c>
      <c r="I50" s="2">
        <f>I48*J50</f>
        <v>67.7</v>
      </c>
      <c r="J50" s="2">
        <v>100</v>
      </c>
      <c r="K50" s="2">
        <v>100</v>
      </c>
      <c r="L50" s="2"/>
      <c r="M50" s="2"/>
      <c r="N50" s="2"/>
      <c r="O50" s="2">
        <f t="shared" si="21"/>
        <v>197480.9</v>
      </c>
      <c r="P50" s="2">
        <f t="shared" si="22"/>
        <v>197480.9</v>
      </c>
      <c r="Q50" s="2">
        <f t="shared" si="23"/>
        <v>0</v>
      </c>
      <c r="R50" s="2">
        <f t="shared" si="24"/>
        <v>0</v>
      </c>
      <c r="S50" s="2">
        <f t="shared" si="25"/>
        <v>0</v>
      </c>
      <c r="T50" s="2">
        <f t="shared" si="26"/>
        <v>0</v>
      </c>
      <c r="U50" s="2">
        <f t="shared" si="27"/>
        <v>0</v>
      </c>
      <c r="V50" s="2">
        <f t="shared" si="28"/>
        <v>0</v>
      </c>
      <c r="W50" s="2">
        <f t="shared" si="29"/>
        <v>0</v>
      </c>
      <c r="X50" s="2">
        <f t="shared" si="30"/>
        <v>0</v>
      </c>
      <c r="Y50" s="2">
        <f t="shared" si="31"/>
        <v>0</v>
      </c>
      <c r="Z50" s="2"/>
      <c r="AA50" s="2">
        <v>55668703</v>
      </c>
      <c r="AB50" s="2">
        <f t="shared" si="32"/>
        <v>2917</v>
      </c>
      <c r="AC50" s="2">
        <f t="shared" si="56"/>
        <v>2917</v>
      </c>
      <c r="AD50" s="2">
        <f>ROUND((((ET50)-(EU50))+AE50),2)</f>
        <v>0</v>
      </c>
      <c r="AE50" s="2">
        <f>ROUND((EU50),2)</f>
        <v>0</v>
      </c>
      <c r="AF50" s="2">
        <f>ROUND((EV50),2)</f>
        <v>0</v>
      </c>
      <c r="AG50" s="2">
        <f t="shared" si="34"/>
        <v>0</v>
      </c>
      <c r="AH50" s="2">
        <f>(EW50)</f>
        <v>0</v>
      </c>
      <c r="AI50" s="2">
        <f>(EX50)</f>
        <v>0</v>
      </c>
      <c r="AJ50" s="2">
        <f t="shared" si="36"/>
        <v>0</v>
      </c>
      <c r="AK50" s="2">
        <v>2917</v>
      </c>
      <c r="AL50" s="2">
        <v>2917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93</v>
      </c>
      <c r="AU50" s="2">
        <v>62</v>
      </c>
      <c r="AV50" s="2">
        <v>1</v>
      </c>
      <c r="AW50" s="2">
        <v>1</v>
      </c>
      <c r="AX50" s="2"/>
      <c r="AY50" s="2"/>
      <c r="AZ50" s="2">
        <v>1</v>
      </c>
      <c r="BA50" s="2">
        <v>1</v>
      </c>
      <c r="BB50" s="2">
        <v>1</v>
      </c>
      <c r="BC50" s="2">
        <v>1</v>
      </c>
      <c r="BD50" s="2" t="s">
        <v>3</v>
      </c>
      <c r="BE50" s="2" t="s">
        <v>3</v>
      </c>
      <c r="BF50" s="2" t="s">
        <v>3</v>
      </c>
      <c r="BG50" s="2" t="s">
        <v>3</v>
      </c>
      <c r="BH50" s="2">
        <v>3</v>
      </c>
      <c r="BI50" s="2">
        <v>1</v>
      </c>
      <c r="BJ50" s="2" t="s">
        <v>3</v>
      </c>
      <c r="BK50" s="2"/>
      <c r="BL50" s="2"/>
      <c r="BM50" s="2">
        <v>9001</v>
      </c>
      <c r="BN50" s="2">
        <v>0</v>
      </c>
      <c r="BO50" s="2" t="s">
        <v>3</v>
      </c>
      <c r="BP50" s="2">
        <v>0</v>
      </c>
      <c r="BQ50" s="2">
        <v>2</v>
      </c>
      <c r="BR50" s="2">
        <v>0</v>
      </c>
      <c r="BS50" s="2">
        <v>1</v>
      </c>
      <c r="BT50" s="2">
        <v>1</v>
      </c>
      <c r="BU50" s="2">
        <v>1</v>
      </c>
      <c r="BV50" s="2">
        <v>1</v>
      </c>
      <c r="BW50" s="2">
        <v>1</v>
      </c>
      <c r="BX50" s="2">
        <v>1</v>
      </c>
      <c r="BY50" s="2" t="s">
        <v>3</v>
      </c>
      <c r="BZ50" s="2">
        <v>93</v>
      </c>
      <c r="CA50" s="2">
        <v>62</v>
      </c>
      <c r="CB50" s="2" t="s">
        <v>3</v>
      </c>
      <c r="CC50" s="2"/>
      <c r="CD50" s="2"/>
      <c r="CE50" s="2">
        <v>0</v>
      </c>
      <c r="CF50" s="2">
        <v>0</v>
      </c>
      <c r="CG50" s="2">
        <v>0</v>
      </c>
      <c r="CH50" s="2"/>
      <c r="CI50" s="2"/>
      <c r="CJ50" s="2"/>
      <c r="CK50" s="2"/>
      <c r="CL50" s="2"/>
      <c r="CM50" s="2">
        <v>0</v>
      </c>
      <c r="CN50" s="2" t="s">
        <v>3</v>
      </c>
      <c r="CO50" s="2">
        <v>0</v>
      </c>
      <c r="CP50" s="2">
        <f t="shared" si="37"/>
        <v>197480.9</v>
      </c>
      <c r="CQ50" s="2">
        <f t="shared" si="38"/>
        <v>2917</v>
      </c>
      <c r="CR50" s="2">
        <f>(((ET50)*BB50-(EU50)*BS50)+AE50*BS50)</f>
        <v>0</v>
      </c>
      <c r="CS50" s="2">
        <f t="shared" si="39"/>
        <v>0</v>
      </c>
      <c r="CT50" s="2">
        <f t="shared" si="40"/>
        <v>0</v>
      </c>
      <c r="CU50" s="2">
        <f t="shared" si="41"/>
        <v>0</v>
      </c>
      <c r="CV50" s="2">
        <f t="shared" si="42"/>
        <v>0</v>
      </c>
      <c r="CW50" s="2">
        <f t="shared" si="43"/>
        <v>0</v>
      </c>
      <c r="CX50" s="2">
        <f t="shared" si="44"/>
        <v>0</v>
      </c>
      <c r="CY50" s="2">
        <f t="shared" si="45"/>
        <v>0</v>
      </c>
      <c r="CZ50" s="2">
        <f t="shared" si="46"/>
        <v>0</v>
      </c>
      <c r="DA50" s="2"/>
      <c r="DB50" s="2"/>
      <c r="DC50" s="2" t="s">
        <v>3</v>
      </c>
      <c r="DD50" s="2" t="s">
        <v>3</v>
      </c>
      <c r="DE50" s="2" t="s">
        <v>3</v>
      </c>
      <c r="DF50" s="2" t="s">
        <v>3</v>
      </c>
      <c r="DG50" s="2" t="s">
        <v>3</v>
      </c>
      <c r="DH50" s="2" t="s">
        <v>3</v>
      </c>
      <c r="DI50" s="2" t="s">
        <v>3</v>
      </c>
      <c r="DJ50" s="2" t="s">
        <v>3</v>
      </c>
      <c r="DK50" s="2" t="s">
        <v>3</v>
      </c>
      <c r="DL50" s="2" t="s">
        <v>3</v>
      </c>
      <c r="DM50" s="2" t="s">
        <v>3</v>
      </c>
      <c r="DN50" s="2">
        <v>0</v>
      </c>
      <c r="DO50" s="2">
        <v>0</v>
      </c>
      <c r="DP50" s="2">
        <v>1</v>
      </c>
      <c r="DQ50" s="2">
        <v>1</v>
      </c>
      <c r="DR50" s="2"/>
      <c r="DS50" s="2"/>
      <c r="DT50" s="2"/>
      <c r="DU50" s="2">
        <v>1003</v>
      </c>
      <c r="DV50" s="2" t="s">
        <v>93</v>
      </c>
      <c r="DW50" s="2" t="s">
        <v>93</v>
      </c>
      <c r="DX50" s="2">
        <v>1</v>
      </c>
      <c r="DY50" s="2"/>
      <c r="DZ50" s="2" t="s">
        <v>3</v>
      </c>
      <c r="EA50" s="2" t="s">
        <v>3</v>
      </c>
      <c r="EB50" s="2" t="s">
        <v>3</v>
      </c>
      <c r="EC50" s="2" t="s">
        <v>3</v>
      </c>
      <c r="ED50" s="2"/>
      <c r="EE50" s="2">
        <v>55471659</v>
      </c>
      <c r="EF50" s="2">
        <v>2</v>
      </c>
      <c r="EG50" s="2" t="s">
        <v>31</v>
      </c>
      <c r="EH50" s="2">
        <v>9</v>
      </c>
      <c r="EI50" s="2" t="s">
        <v>32</v>
      </c>
      <c r="EJ50" s="2">
        <v>1</v>
      </c>
      <c r="EK50" s="2">
        <v>9001</v>
      </c>
      <c r="EL50" s="2" t="s">
        <v>32</v>
      </c>
      <c r="EM50" s="2" t="s">
        <v>33</v>
      </c>
      <c r="EN50" s="2"/>
      <c r="EO50" s="2" t="s">
        <v>3</v>
      </c>
      <c r="EP50" s="2"/>
      <c r="EQ50" s="2">
        <v>0</v>
      </c>
      <c r="ER50" s="2">
        <v>0</v>
      </c>
      <c r="ES50" s="2">
        <v>2917</v>
      </c>
      <c r="ET50" s="2">
        <v>0</v>
      </c>
      <c r="EU50" s="2">
        <v>0</v>
      </c>
      <c r="EV50" s="2">
        <v>0</v>
      </c>
      <c r="EW50" s="2">
        <v>0</v>
      </c>
      <c r="EX50" s="2">
        <v>0</v>
      </c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>
        <v>0</v>
      </c>
      <c r="FR50" s="2">
        <f t="shared" si="47"/>
        <v>0</v>
      </c>
      <c r="FS50" s="2">
        <v>0</v>
      </c>
      <c r="FT50" s="2"/>
      <c r="FU50" s="2"/>
      <c r="FV50" s="2"/>
      <c r="FW50" s="2"/>
      <c r="FX50" s="2">
        <v>93</v>
      </c>
      <c r="FY50" s="2">
        <v>62</v>
      </c>
      <c r="FZ50" s="2"/>
      <c r="GA50" s="2" t="s">
        <v>82</v>
      </c>
      <c r="GB50" s="2"/>
      <c r="GC50" s="2"/>
      <c r="GD50" s="2">
        <v>1</v>
      </c>
      <c r="GE50" s="2"/>
      <c r="GF50" s="2">
        <v>1239079577</v>
      </c>
      <c r="GG50" s="2">
        <v>2</v>
      </c>
      <c r="GH50" s="2">
        <v>4</v>
      </c>
      <c r="GI50" s="2">
        <v>-2</v>
      </c>
      <c r="GJ50" s="2">
        <v>0</v>
      </c>
      <c r="GK50" s="2">
        <v>0</v>
      </c>
      <c r="GL50" s="2">
        <f t="shared" si="48"/>
        <v>0</v>
      </c>
      <c r="GM50" s="2">
        <f t="shared" si="49"/>
        <v>197480.9</v>
      </c>
      <c r="GN50" s="2">
        <f t="shared" si="50"/>
        <v>197480.9</v>
      </c>
      <c r="GO50" s="2">
        <f t="shared" si="51"/>
        <v>0</v>
      </c>
      <c r="GP50" s="2">
        <f t="shared" si="52"/>
        <v>0</v>
      </c>
      <c r="GQ50" s="2"/>
      <c r="GR50" s="2">
        <v>0</v>
      </c>
      <c r="GS50" s="2">
        <v>2</v>
      </c>
      <c r="GT50" s="2">
        <v>0</v>
      </c>
      <c r="GU50" s="2" t="s">
        <v>3</v>
      </c>
      <c r="GV50" s="2">
        <f t="shared" si="53"/>
        <v>0</v>
      </c>
      <c r="GW50" s="2">
        <v>1</v>
      </c>
      <c r="GX50" s="2">
        <f t="shared" si="54"/>
        <v>0</v>
      </c>
      <c r="GY50" s="2"/>
      <c r="GZ50" s="2"/>
      <c r="HA50" s="2">
        <v>0</v>
      </c>
      <c r="HB50" s="2">
        <v>0</v>
      </c>
      <c r="HC50" s="2">
        <f t="shared" si="55"/>
        <v>0</v>
      </c>
      <c r="HD50" s="2"/>
      <c r="HE50" s="2" t="s">
        <v>3</v>
      </c>
      <c r="HF50" s="2" t="s">
        <v>3</v>
      </c>
      <c r="HG50" s="2"/>
      <c r="HH50" s="2"/>
      <c r="HI50" s="2"/>
      <c r="HJ50" s="2"/>
      <c r="HK50" s="2"/>
      <c r="HL50" s="2"/>
      <c r="HM50" s="2" t="s">
        <v>3</v>
      </c>
      <c r="HN50" s="2" t="s">
        <v>35</v>
      </c>
      <c r="HO50" s="2" t="s">
        <v>36</v>
      </c>
      <c r="HP50" s="2" t="s">
        <v>32</v>
      </c>
      <c r="HQ50" s="2" t="s">
        <v>32</v>
      </c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>
        <v>0</v>
      </c>
      <c r="IL50" s="2"/>
      <c r="IM50" s="2"/>
      <c r="IN50" s="2"/>
      <c r="IO50" s="2"/>
      <c r="IP50" s="2"/>
      <c r="IQ50" s="2"/>
      <c r="IR50" s="2"/>
      <c r="IS50" s="2"/>
      <c r="IT50" s="2"/>
      <c r="IU50" s="2"/>
    </row>
    <row r="51" spans="1:245" ht="12.75">
      <c r="A51">
        <v>18</v>
      </c>
      <c r="B51">
        <v>1</v>
      </c>
      <c r="C51">
        <v>82</v>
      </c>
      <c r="E51" t="s">
        <v>91</v>
      </c>
      <c r="F51" t="s">
        <v>79</v>
      </c>
      <c r="G51" t="s">
        <v>92</v>
      </c>
      <c r="H51" t="s">
        <v>93</v>
      </c>
      <c r="I51">
        <f>I49*J51</f>
        <v>67.7</v>
      </c>
      <c r="J51">
        <v>100</v>
      </c>
      <c r="K51">
        <v>100</v>
      </c>
      <c r="O51">
        <f t="shared" si="21"/>
        <v>197480.9</v>
      </c>
      <c r="P51">
        <f t="shared" si="22"/>
        <v>197480.9</v>
      </c>
      <c r="Q51">
        <f t="shared" si="23"/>
        <v>0</v>
      </c>
      <c r="R51">
        <f t="shared" si="24"/>
        <v>0</v>
      </c>
      <c r="S51">
        <f t="shared" si="25"/>
        <v>0</v>
      </c>
      <c r="T51">
        <f t="shared" si="26"/>
        <v>0</v>
      </c>
      <c r="U51">
        <f t="shared" si="27"/>
        <v>0</v>
      </c>
      <c r="V51">
        <f t="shared" si="28"/>
        <v>0</v>
      </c>
      <c r="W51">
        <f t="shared" si="29"/>
        <v>0</v>
      </c>
      <c r="X51">
        <f t="shared" si="30"/>
        <v>0</v>
      </c>
      <c r="Y51">
        <f t="shared" si="31"/>
        <v>0</v>
      </c>
      <c r="AA51">
        <v>55668704</v>
      </c>
      <c r="AB51">
        <f t="shared" si="32"/>
        <v>2917</v>
      </c>
      <c r="AC51">
        <f t="shared" si="56"/>
        <v>2917</v>
      </c>
      <c r="AD51">
        <f>ROUND((((ET51)-(EU51))+AE51),2)</f>
        <v>0</v>
      </c>
      <c r="AE51">
        <f>ROUND((EU51),2)</f>
        <v>0</v>
      </c>
      <c r="AF51">
        <f>ROUND((EV51),2)</f>
        <v>0</v>
      </c>
      <c r="AG51">
        <f t="shared" si="34"/>
        <v>0</v>
      </c>
      <c r="AH51">
        <f>(EW51)</f>
        <v>0</v>
      </c>
      <c r="AI51">
        <f>(EX51)</f>
        <v>0</v>
      </c>
      <c r="AJ51">
        <f t="shared" si="36"/>
        <v>0</v>
      </c>
      <c r="AK51">
        <v>2917</v>
      </c>
      <c r="AL51">
        <v>2917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93</v>
      </c>
      <c r="AU51">
        <v>62</v>
      </c>
      <c r="AV51">
        <v>1</v>
      </c>
      <c r="AW51">
        <v>1</v>
      </c>
      <c r="AZ51">
        <v>1</v>
      </c>
      <c r="BA51">
        <v>1</v>
      </c>
      <c r="BB51">
        <v>1</v>
      </c>
      <c r="BC51">
        <v>1</v>
      </c>
      <c r="BH51">
        <v>3</v>
      </c>
      <c r="BI51">
        <v>1</v>
      </c>
      <c r="BM51">
        <v>9001</v>
      </c>
      <c r="BN51">
        <v>0</v>
      </c>
      <c r="BP51">
        <v>0</v>
      </c>
      <c r="BQ51">
        <v>2</v>
      </c>
      <c r="BR51">
        <v>0</v>
      </c>
      <c r="BS51">
        <v>1</v>
      </c>
      <c r="BT51">
        <v>1</v>
      </c>
      <c r="BU51">
        <v>1</v>
      </c>
      <c r="BV51">
        <v>1</v>
      </c>
      <c r="BW51">
        <v>1</v>
      </c>
      <c r="BX51">
        <v>1</v>
      </c>
      <c r="BZ51">
        <v>93</v>
      </c>
      <c r="CA51">
        <v>62</v>
      </c>
      <c r="CE51">
        <v>0</v>
      </c>
      <c r="CF51">
        <v>0</v>
      </c>
      <c r="CG51">
        <v>0</v>
      </c>
      <c r="CM51">
        <v>0</v>
      </c>
      <c r="CO51">
        <v>0</v>
      </c>
      <c r="CP51">
        <f t="shared" si="37"/>
        <v>197480.9</v>
      </c>
      <c r="CQ51">
        <f t="shared" si="38"/>
        <v>2917</v>
      </c>
      <c r="CR51">
        <f>(((ET51)*BB51-(EU51)*BS51)+AE51*BS51)</f>
        <v>0</v>
      </c>
      <c r="CS51">
        <f t="shared" si="39"/>
        <v>0</v>
      </c>
      <c r="CT51">
        <f t="shared" si="40"/>
        <v>0</v>
      </c>
      <c r="CU51">
        <f t="shared" si="41"/>
        <v>0</v>
      </c>
      <c r="CV51">
        <f t="shared" si="42"/>
        <v>0</v>
      </c>
      <c r="CW51">
        <f t="shared" si="43"/>
        <v>0</v>
      </c>
      <c r="CX51">
        <f t="shared" si="44"/>
        <v>0</v>
      </c>
      <c r="CY51">
        <f t="shared" si="45"/>
        <v>0</v>
      </c>
      <c r="CZ51">
        <f t="shared" si="46"/>
        <v>0</v>
      </c>
      <c r="DN51">
        <v>0</v>
      </c>
      <c r="DO51">
        <v>0</v>
      </c>
      <c r="DP51">
        <v>1</v>
      </c>
      <c r="DQ51">
        <v>1</v>
      </c>
      <c r="DU51">
        <v>1003</v>
      </c>
      <c r="DV51" t="s">
        <v>93</v>
      </c>
      <c r="DW51" t="s">
        <v>93</v>
      </c>
      <c r="DX51">
        <v>1</v>
      </c>
      <c r="EE51">
        <v>55471659</v>
      </c>
      <c r="EF51">
        <v>2</v>
      </c>
      <c r="EG51" t="s">
        <v>31</v>
      </c>
      <c r="EH51">
        <v>9</v>
      </c>
      <c r="EI51" t="s">
        <v>32</v>
      </c>
      <c r="EJ51">
        <v>1</v>
      </c>
      <c r="EK51">
        <v>9001</v>
      </c>
      <c r="EL51" t="s">
        <v>32</v>
      </c>
      <c r="EM51" t="s">
        <v>33</v>
      </c>
      <c r="EQ51">
        <v>0</v>
      </c>
      <c r="ER51">
        <v>0</v>
      </c>
      <c r="ES51">
        <v>2917</v>
      </c>
      <c r="ET51">
        <v>0</v>
      </c>
      <c r="EU51">
        <v>0</v>
      </c>
      <c r="EV51">
        <v>0</v>
      </c>
      <c r="EW51">
        <v>0</v>
      </c>
      <c r="EX51">
        <v>0</v>
      </c>
      <c r="FQ51">
        <v>0</v>
      </c>
      <c r="FR51">
        <f t="shared" si="47"/>
        <v>0</v>
      </c>
      <c r="FS51">
        <v>0</v>
      </c>
      <c r="FX51">
        <v>93</v>
      </c>
      <c r="FY51">
        <v>62</v>
      </c>
      <c r="GA51" t="s">
        <v>82</v>
      </c>
      <c r="GD51">
        <v>1</v>
      </c>
      <c r="GF51">
        <v>1239079577</v>
      </c>
      <c r="GG51">
        <v>2</v>
      </c>
      <c r="GH51">
        <v>2</v>
      </c>
      <c r="GI51">
        <v>3</v>
      </c>
      <c r="GJ51">
        <v>0</v>
      </c>
      <c r="GK51">
        <v>0</v>
      </c>
      <c r="GL51">
        <f t="shared" si="48"/>
        <v>0</v>
      </c>
      <c r="GM51">
        <f t="shared" si="49"/>
        <v>197480.9</v>
      </c>
      <c r="GN51">
        <f t="shared" si="50"/>
        <v>197480.9</v>
      </c>
      <c r="GO51">
        <f t="shared" si="51"/>
        <v>0</v>
      </c>
      <c r="GP51">
        <f t="shared" si="52"/>
        <v>0</v>
      </c>
      <c r="GR51">
        <v>0</v>
      </c>
      <c r="GS51">
        <v>4</v>
      </c>
      <c r="GT51">
        <v>0</v>
      </c>
      <c r="GV51">
        <f t="shared" si="53"/>
        <v>0</v>
      </c>
      <c r="GW51">
        <v>1</v>
      </c>
      <c r="GX51">
        <f t="shared" si="54"/>
        <v>0</v>
      </c>
      <c r="HA51">
        <v>0</v>
      </c>
      <c r="HB51">
        <v>0</v>
      </c>
      <c r="HC51">
        <f t="shared" si="55"/>
        <v>0</v>
      </c>
      <c r="HN51" t="s">
        <v>35</v>
      </c>
      <c r="HO51" t="s">
        <v>36</v>
      </c>
      <c r="HP51" t="s">
        <v>32</v>
      </c>
      <c r="HQ51" t="s">
        <v>32</v>
      </c>
      <c r="IK51">
        <v>0</v>
      </c>
    </row>
    <row r="52" spans="1:255" ht="12.75">
      <c r="A52" s="2">
        <v>17</v>
      </c>
      <c r="B52" s="2">
        <v>1</v>
      </c>
      <c r="C52" s="2">
        <f>ROW(SmtRes!A85)</f>
        <v>85</v>
      </c>
      <c r="D52" s="2">
        <f>ROW(EtalonRes!A97)</f>
        <v>97</v>
      </c>
      <c r="E52" s="2" t="s">
        <v>94</v>
      </c>
      <c r="F52" s="2" t="s">
        <v>95</v>
      </c>
      <c r="G52" s="2" t="s">
        <v>96</v>
      </c>
      <c r="H52" s="2" t="s">
        <v>89</v>
      </c>
      <c r="I52" s="2">
        <f>ROUND(3/100,7)</f>
        <v>0.03</v>
      </c>
      <c r="J52" s="2">
        <v>0</v>
      </c>
      <c r="K52" s="2">
        <f>ROUND(3/100,7)</f>
        <v>0.03</v>
      </c>
      <c r="L52" s="2"/>
      <c r="M52" s="2"/>
      <c r="N52" s="2"/>
      <c r="O52" s="2">
        <f t="shared" si="21"/>
        <v>7.31</v>
      </c>
      <c r="P52" s="2">
        <f t="shared" si="22"/>
        <v>2.41</v>
      </c>
      <c r="Q52" s="2">
        <f t="shared" si="23"/>
        <v>0</v>
      </c>
      <c r="R52" s="2">
        <f t="shared" si="24"/>
        <v>0</v>
      </c>
      <c r="S52" s="2">
        <f t="shared" si="25"/>
        <v>4.9</v>
      </c>
      <c r="T52" s="2">
        <f t="shared" si="26"/>
        <v>0</v>
      </c>
      <c r="U52" s="2">
        <f t="shared" si="27"/>
        <v>0.5740799999999999</v>
      </c>
      <c r="V52" s="2">
        <f t="shared" si="28"/>
        <v>0</v>
      </c>
      <c r="W52" s="2">
        <f t="shared" si="29"/>
        <v>0</v>
      </c>
      <c r="X52" s="2">
        <f t="shared" si="30"/>
        <v>5.49</v>
      </c>
      <c r="Y52" s="2">
        <f t="shared" si="31"/>
        <v>2.71</v>
      </c>
      <c r="Z52" s="2"/>
      <c r="AA52" s="2">
        <v>55668703</v>
      </c>
      <c r="AB52" s="2">
        <f t="shared" si="32"/>
        <v>243.63</v>
      </c>
      <c r="AC52" s="2">
        <f t="shared" si="56"/>
        <v>80.4</v>
      </c>
      <c r="AD52" s="2">
        <f>ROUND(((((ET52*ROUND(1.25,7)))-((EU52*ROUND(1.25,7))))+AE52),2)</f>
        <v>0</v>
      </c>
      <c r="AE52" s="2">
        <f>ROUND(((EU52*ROUND(1.25,7))),2)</f>
        <v>0</v>
      </c>
      <c r="AF52" s="2">
        <f>ROUND(((EV52*ROUND(1.15,7))),2)</f>
        <v>163.23</v>
      </c>
      <c r="AG52" s="2">
        <f t="shared" si="34"/>
        <v>0</v>
      </c>
      <c r="AH52" s="2">
        <f>((EW52*ROUND(1.15,7)))</f>
        <v>19.136</v>
      </c>
      <c r="AI52" s="2">
        <f>((EX52*ROUND(1.25,7)))</f>
        <v>0</v>
      </c>
      <c r="AJ52" s="2">
        <f t="shared" si="36"/>
        <v>0</v>
      </c>
      <c r="AK52" s="2">
        <v>222.34</v>
      </c>
      <c r="AL52" s="2">
        <v>80.4</v>
      </c>
      <c r="AM52" s="2">
        <v>0</v>
      </c>
      <c r="AN52" s="2">
        <v>0</v>
      </c>
      <c r="AO52" s="2">
        <v>141.94</v>
      </c>
      <c r="AP52" s="2">
        <v>0</v>
      </c>
      <c r="AQ52" s="2">
        <v>16.64</v>
      </c>
      <c r="AR52" s="2">
        <v>0</v>
      </c>
      <c r="AS52" s="2">
        <v>0</v>
      </c>
      <c r="AT52" s="2">
        <v>112</v>
      </c>
      <c r="AU52" s="2">
        <v>55.25</v>
      </c>
      <c r="AV52" s="2">
        <v>1</v>
      </c>
      <c r="AW52" s="2">
        <v>1</v>
      </c>
      <c r="AX52" s="2"/>
      <c r="AY52" s="2"/>
      <c r="AZ52" s="2">
        <v>1</v>
      </c>
      <c r="BA52" s="2">
        <v>1</v>
      </c>
      <c r="BB52" s="2">
        <v>1</v>
      </c>
      <c r="BC52" s="2">
        <v>1</v>
      </c>
      <c r="BD52" s="2" t="s">
        <v>3</v>
      </c>
      <c r="BE52" s="2" t="s">
        <v>3</v>
      </c>
      <c r="BF52" s="2" t="s">
        <v>3</v>
      </c>
      <c r="BG52" s="2" t="s">
        <v>3</v>
      </c>
      <c r="BH52" s="2">
        <v>0</v>
      </c>
      <c r="BI52" s="2">
        <v>1</v>
      </c>
      <c r="BJ52" s="2" t="s">
        <v>97</v>
      </c>
      <c r="BK52" s="2"/>
      <c r="BL52" s="2"/>
      <c r="BM52" s="2">
        <v>11001</v>
      </c>
      <c r="BN52" s="2">
        <v>0</v>
      </c>
      <c r="BO52" s="2" t="s">
        <v>3</v>
      </c>
      <c r="BP52" s="2">
        <v>0</v>
      </c>
      <c r="BQ52" s="2">
        <v>2</v>
      </c>
      <c r="BR52" s="2">
        <v>0</v>
      </c>
      <c r="BS52" s="2">
        <v>1</v>
      </c>
      <c r="BT52" s="2">
        <v>1</v>
      </c>
      <c r="BU52" s="2">
        <v>1</v>
      </c>
      <c r="BV52" s="2">
        <v>1</v>
      </c>
      <c r="BW52" s="2">
        <v>1</v>
      </c>
      <c r="BX52" s="2">
        <v>1</v>
      </c>
      <c r="BY52" s="2" t="s">
        <v>3</v>
      </c>
      <c r="BZ52" s="2">
        <v>112</v>
      </c>
      <c r="CA52" s="2">
        <v>65</v>
      </c>
      <c r="CB52" s="2" t="s">
        <v>3</v>
      </c>
      <c r="CC52" s="2"/>
      <c r="CD52" s="2"/>
      <c r="CE52" s="2">
        <v>0</v>
      </c>
      <c r="CF52" s="2">
        <v>0</v>
      </c>
      <c r="CG52" s="2">
        <v>0</v>
      </c>
      <c r="CH52" s="2"/>
      <c r="CI52" s="2"/>
      <c r="CJ52" s="2"/>
      <c r="CK52" s="2"/>
      <c r="CL52" s="2"/>
      <c r="CM52" s="2">
        <v>0</v>
      </c>
      <c r="CN52" s="2" t="s">
        <v>385</v>
      </c>
      <c r="CO52" s="2">
        <v>0</v>
      </c>
      <c r="CP52" s="2">
        <f t="shared" si="37"/>
        <v>7.3100000000000005</v>
      </c>
      <c r="CQ52" s="2">
        <f t="shared" si="38"/>
        <v>80.4</v>
      </c>
      <c r="CR52" s="2">
        <f>((((ET52*ROUND(1.25,7)))*BB52-((EU52*ROUND(1.25,7)))*BS52)+AE52*BS52)</f>
        <v>0</v>
      </c>
      <c r="CS52" s="2">
        <f t="shared" si="39"/>
        <v>0</v>
      </c>
      <c r="CT52" s="2">
        <f t="shared" si="40"/>
        <v>163.23</v>
      </c>
      <c r="CU52" s="2">
        <f t="shared" si="41"/>
        <v>0</v>
      </c>
      <c r="CV52" s="2">
        <f t="shared" si="42"/>
        <v>19.136</v>
      </c>
      <c r="CW52" s="2">
        <f t="shared" si="43"/>
        <v>0</v>
      </c>
      <c r="CX52" s="2">
        <f t="shared" si="44"/>
        <v>0</v>
      </c>
      <c r="CY52" s="2">
        <f t="shared" si="45"/>
        <v>5.488</v>
      </c>
      <c r="CZ52" s="2">
        <f t="shared" si="46"/>
        <v>2.70725</v>
      </c>
      <c r="DA52" s="2"/>
      <c r="DB52" s="2"/>
      <c r="DC52" s="2" t="s">
        <v>3</v>
      </c>
      <c r="DD52" s="2" t="s">
        <v>3</v>
      </c>
      <c r="DE52" s="2" t="s">
        <v>72</v>
      </c>
      <c r="DF52" s="2" t="s">
        <v>72</v>
      </c>
      <c r="DG52" s="2" t="s">
        <v>73</v>
      </c>
      <c r="DH52" s="2" t="s">
        <v>3</v>
      </c>
      <c r="DI52" s="2" t="s">
        <v>73</v>
      </c>
      <c r="DJ52" s="2" t="s">
        <v>72</v>
      </c>
      <c r="DK52" s="2" t="s">
        <v>3</v>
      </c>
      <c r="DL52" s="2" t="s">
        <v>3</v>
      </c>
      <c r="DM52" s="2" t="s">
        <v>74</v>
      </c>
      <c r="DN52" s="2">
        <v>0</v>
      </c>
      <c r="DO52" s="2">
        <v>0</v>
      </c>
      <c r="DP52" s="2">
        <v>1</v>
      </c>
      <c r="DQ52" s="2">
        <v>1</v>
      </c>
      <c r="DR52" s="2"/>
      <c r="DS52" s="2"/>
      <c r="DT52" s="2"/>
      <c r="DU52" s="2">
        <v>1003</v>
      </c>
      <c r="DV52" s="2" t="s">
        <v>89</v>
      </c>
      <c r="DW52" s="2" t="s">
        <v>89</v>
      </c>
      <c r="DX52" s="2">
        <v>100</v>
      </c>
      <c r="DY52" s="2"/>
      <c r="DZ52" s="2" t="s">
        <v>3</v>
      </c>
      <c r="EA52" s="2" t="s">
        <v>3</v>
      </c>
      <c r="EB52" s="2" t="s">
        <v>3</v>
      </c>
      <c r="EC52" s="2" t="s">
        <v>3</v>
      </c>
      <c r="ED52" s="2"/>
      <c r="EE52" s="2">
        <v>55471663</v>
      </c>
      <c r="EF52" s="2">
        <v>2</v>
      </c>
      <c r="EG52" s="2" t="s">
        <v>31</v>
      </c>
      <c r="EH52" s="2">
        <v>11</v>
      </c>
      <c r="EI52" s="2" t="s">
        <v>98</v>
      </c>
      <c r="EJ52" s="2">
        <v>1</v>
      </c>
      <c r="EK52" s="2">
        <v>11001</v>
      </c>
      <c r="EL52" s="2" t="s">
        <v>98</v>
      </c>
      <c r="EM52" s="2" t="s">
        <v>99</v>
      </c>
      <c r="EN52" s="2"/>
      <c r="EO52" s="2" t="s">
        <v>75</v>
      </c>
      <c r="EP52" s="2"/>
      <c r="EQ52" s="2">
        <v>0</v>
      </c>
      <c r="ER52" s="2">
        <v>222.34</v>
      </c>
      <c r="ES52" s="2">
        <v>80.4</v>
      </c>
      <c r="ET52" s="2">
        <v>0</v>
      </c>
      <c r="EU52" s="2">
        <v>0</v>
      </c>
      <c r="EV52" s="2">
        <v>141.94</v>
      </c>
      <c r="EW52" s="2">
        <v>16.64</v>
      </c>
      <c r="EX52" s="2">
        <v>0</v>
      </c>
      <c r="EY52" s="2">
        <v>0</v>
      </c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>
        <v>0</v>
      </c>
      <c r="FR52" s="2">
        <f t="shared" si="47"/>
        <v>0</v>
      </c>
      <c r="FS52" s="2">
        <v>0</v>
      </c>
      <c r="FT52" s="2"/>
      <c r="FU52" s="2"/>
      <c r="FV52" s="2"/>
      <c r="FW52" s="2"/>
      <c r="FX52" s="2">
        <v>112</v>
      </c>
      <c r="FY52" s="2">
        <v>55.25</v>
      </c>
      <c r="FZ52" s="2"/>
      <c r="GA52" s="2" t="s">
        <v>3</v>
      </c>
      <c r="GB52" s="2"/>
      <c r="GC52" s="2"/>
      <c r="GD52" s="2">
        <v>1</v>
      </c>
      <c r="GE52" s="2"/>
      <c r="GF52" s="2">
        <v>-159475479</v>
      </c>
      <c r="GG52" s="2">
        <v>2</v>
      </c>
      <c r="GH52" s="2">
        <v>1</v>
      </c>
      <c r="GI52" s="2">
        <v>-2</v>
      </c>
      <c r="GJ52" s="2">
        <v>0</v>
      </c>
      <c r="GK52" s="2">
        <v>0</v>
      </c>
      <c r="GL52" s="2">
        <f t="shared" si="48"/>
        <v>0</v>
      </c>
      <c r="GM52" s="2">
        <f t="shared" si="49"/>
        <v>15.51</v>
      </c>
      <c r="GN52" s="2">
        <f t="shared" si="50"/>
        <v>15.51</v>
      </c>
      <c r="GO52" s="2">
        <f t="shared" si="51"/>
        <v>0</v>
      </c>
      <c r="GP52" s="2">
        <f t="shared" si="52"/>
        <v>0</v>
      </c>
      <c r="GQ52" s="2"/>
      <c r="GR52" s="2">
        <v>0</v>
      </c>
      <c r="GS52" s="2">
        <v>3</v>
      </c>
      <c r="GT52" s="2">
        <v>0</v>
      </c>
      <c r="GU52" s="2" t="s">
        <v>3</v>
      </c>
      <c r="GV52" s="2">
        <f t="shared" si="53"/>
        <v>0</v>
      </c>
      <c r="GW52" s="2">
        <v>1</v>
      </c>
      <c r="GX52" s="2">
        <f t="shared" si="54"/>
        <v>0</v>
      </c>
      <c r="GY52" s="2"/>
      <c r="GZ52" s="2"/>
      <c r="HA52" s="2">
        <v>0</v>
      </c>
      <c r="HB52" s="2">
        <v>0</v>
      </c>
      <c r="HC52" s="2">
        <f t="shared" si="55"/>
        <v>0</v>
      </c>
      <c r="HD52" s="2"/>
      <c r="HE52" s="2" t="s">
        <v>3</v>
      </c>
      <c r="HF52" s="2" t="s">
        <v>3</v>
      </c>
      <c r="HG52" s="2"/>
      <c r="HH52" s="2"/>
      <c r="HI52" s="2"/>
      <c r="HJ52" s="2"/>
      <c r="HK52" s="2"/>
      <c r="HL52" s="2"/>
      <c r="HM52" s="2" t="s">
        <v>3</v>
      </c>
      <c r="HN52" s="2" t="s">
        <v>100</v>
      </c>
      <c r="HO52" s="2" t="s">
        <v>101</v>
      </c>
      <c r="HP52" s="2" t="s">
        <v>98</v>
      </c>
      <c r="HQ52" s="2" t="s">
        <v>98</v>
      </c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>
        <v>0</v>
      </c>
      <c r="IL52" s="2"/>
      <c r="IM52" s="2"/>
      <c r="IN52" s="2"/>
      <c r="IO52" s="2"/>
      <c r="IP52" s="2"/>
      <c r="IQ52" s="2"/>
      <c r="IR52" s="2"/>
      <c r="IS52" s="2"/>
      <c r="IT52" s="2"/>
      <c r="IU52" s="2"/>
    </row>
    <row r="53" spans="1:245" ht="12.75">
      <c r="A53">
        <v>17</v>
      </c>
      <c r="B53">
        <v>1</v>
      </c>
      <c r="C53">
        <f>ROW(SmtRes!A88)</f>
        <v>88</v>
      </c>
      <c r="D53">
        <f>ROW(EtalonRes!A100)</f>
        <v>100</v>
      </c>
      <c r="E53" t="s">
        <v>94</v>
      </c>
      <c r="F53" t="s">
        <v>95</v>
      </c>
      <c r="G53" t="s">
        <v>96</v>
      </c>
      <c r="H53" t="s">
        <v>89</v>
      </c>
      <c r="I53">
        <f>ROUND(3/100,7)</f>
        <v>0.03</v>
      </c>
      <c r="J53">
        <v>0</v>
      </c>
      <c r="K53">
        <f>ROUND(3/100,7)</f>
        <v>0.03</v>
      </c>
      <c r="O53">
        <f t="shared" si="21"/>
        <v>199.06</v>
      </c>
      <c r="P53">
        <f t="shared" si="22"/>
        <v>16.21</v>
      </c>
      <c r="Q53">
        <f t="shared" si="23"/>
        <v>0</v>
      </c>
      <c r="R53">
        <f t="shared" si="24"/>
        <v>0</v>
      </c>
      <c r="S53">
        <f t="shared" si="25"/>
        <v>182.85</v>
      </c>
      <c r="T53">
        <f t="shared" si="26"/>
        <v>0</v>
      </c>
      <c r="U53">
        <f t="shared" si="27"/>
        <v>0.5740799999999999</v>
      </c>
      <c r="V53">
        <f t="shared" si="28"/>
        <v>0</v>
      </c>
      <c r="W53">
        <f t="shared" si="29"/>
        <v>0</v>
      </c>
      <c r="X53">
        <f t="shared" si="30"/>
        <v>204.79</v>
      </c>
      <c r="Y53">
        <f t="shared" si="31"/>
        <v>101.02</v>
      </c>
      <c r="AA53">
        <v>55668704</v>
      </c>
      <c r="AB53">
        <f t="shared" si="32"/>
        <v>243.63</v>
      </c>
      <c r="AC53">
        <f t="shared" si="56"/>
        <v>80.4</v>
      </c>
      <c r="AD53">
        <f>ROUND(((((ET53*ROUND(1.25,7)))-((EU53*ROUND(1.25,7))))+AE53),2)</f>
        <v>0</v>
      </c>
      <c r="AE53">
        <f>ROUND(((EU53*ROUND(1.25,7))),2)</f>
        <v>0</v>
      </c>
      <c r="AF53">
        <f>ROUND(((EV53*ROUND(1.15,7))),2)</f>
        <v>163.23</v>
      </c>
      <c r="AG53">
        <f t="shared" si="34"/>
        <v>0</v>
      </c>
      <c r="AH53">
        <f>((EW53*ROUND(1.15,7)))</f>
        <v>19.136</v>
      </c>
      <c r="AI53">
        <f>((EX53*ROUND(1.25,7)))</f>
        <v>0</v>
      </c>
      <c r="AJ53">
        <f t="shared" si="36"/>
        <v>0</v>
      </c>
      <c r="AK53">
        <v>222.34</v>
      </c>
      <c r="AL53">
        <v>80.4</v>
      </c>
      <c r="AM53">
        <v>0</v>
      </c>
      <c r="AN53">
        <v>0</v>
      </c>
      <c r="AO53">
        <v>141.94</v>
      </c>
      <c r="AP53">
        <v>0</v>
      </c>
      <c r="AQ53">
        <v>16.64</v>
      </c>
      <c r="AR53">
        <v>0</v>
      </c>
      <c r="AS53">
        <v>0</v>
      </c>
      <c r="AT53">
        <v>112</v>
      </c>
      <c r="AU53">
        <v>55.25</v>
      </c>
      <c r="AV53">
        <v>1</v>
      </c>
      <c r="AW53">
        <v>1</v>
      </c>
      <c r="AZ53">
        <v>1</v>
      </c>
      <c r="BA53">
        <v>37.34</v>
      </c>
      <c r="BB53">
        <v>13.24</v>
      </c>
      <c r="BC53">
        <v>6.72</v>
      </c>
      <c r="BH53">
        <v>0</v>
      </c>
      <c r="BI53">
        <v>1</v>
      </c>
      <c r="BJ53" t="s">
        <v>97</v>
      </c>
      <c r="BM53">
        <v>11001</v>
      </c>
      <c r="BN53">
        <v>0</v>
      </c>
      <c r="BO53" t="s">
        <v>37</v>
      </c>
      <c r="BP53">
        <v>1</v>
      </c>
      <c r="BQ53">
        <v>2</v>
      </c>
      <c r="BR53">
        <v>0</v>
      </c>
      <c r="BS53">
        <v>37.34</v>
      </c>
      <c r="BT53">
        <v>1</v>
      </c>
      <c r="BU53">
        <v>1</v>
      </c>
      <c r="BV53">
        <v>1</v>
      </c>
      <c r="BW53">
        <v>1</v>
      </c>
      <c r="BX53">
        <v>1</v>
      </c>
      <c r="BZ53">
        <v>112</v>
      </c>
      <c r="CA53">
        <v>65</v>
      </c>
      <c r="CE53">
        <v>0</v>
      </c>
      <c r="CF53">
        <v>0</v>
      </c>
      <c r="CG53">
        <v>0</v>
      </c>
      <c r="CM53">
        <v>0</v>
      </c>
      <c r="CN53" t="s">
        <v>385</v>
      </c>
      <c r="CO53">
        <v>0</v>
      </c>
      <c r="CP53">
        <f t="shared" si="37"/>
        <v>199.06</v>
      </c>
      <c r="CQ53">
        <f t="shared" si="38"/>
        <v>540.288</v>
      </c>
      <c r="CR53">
        <f>((((ET53*ROUND(1.25,7)))*BB53-((EU53*ROUND(1.25,7)))*BS53)+AE53*BS53)</f>
        <v>0</v>
      </c>
      <c r="CS53">
        <f t="shared" si="39"/>
        <v>0</v>
      </c>
      <c r="CT53">
        <f t="shared" si="40"/>
        <v>6095.0082</v>
      </c>
      <c r="CU53">
        <f t="shared" si="41"/>
        <v>0</v>
      </c>
      <c r="CV53">
        <f t="shared" si="42"/>
        <v>19.136</v>
      </c>
      <c r="CW53">
        <f t="shared" si="43"/>
        <v>0</v>
      </c>
      <c r="CX53">
        <f t="shared" si="44"/>
        <v>0</v>
      </c>
      <c r="CY53">
        <f t="shared" si="45"/>
        <v>204.792</v>
      </c>
      <c r="CZ53">
        <f t="shared" si="46"/>
        <v>101.024625</v>
      </c>
      <c r="DE53" t="s">
        <v>72</v>
      </c>
      <c r="DF53" t="s">
        <v>72</v>
      </c>
      <c r="DG53" t="s">
        <v>73</v>
      </c>
      <c r="DI53" t="s">
        <v>73</v>
      </c>
      <c r="DJ53" t="s">
        <v>72</v>
      </c>
      <c r="DM53" t="s">
        <v>74</v>
      </c>
      <c r="DN53">
        <v>0</v>
      </c>
      <c r="DO53">
        <v>0</v>
      </c>
      <c r="DP53">
        <v>1</v>
      </c>
      <c r="DQ53">
        <v>1</v>
      </c>
      <c r="DU53">
        <v>1003</v>
      </c>
      <c r="DV53" t="s">
        <v>89</v>
      </c>
      <c r="DW53" t="s">
        <v>89</v>
      </c>
      <c r="DX53">
        <v>100</v>
      </c>
      <c r="EE53">
        <v>55471663</v>
      </c>
      <c r="EF53">
        <v>2</v>
      </c>
      <c r="EG53" t="s">
        <v>31</v>
      </c>
      <c r="EH53">
        <v>11</v>
      </c>
      <c r="EI53" t="s">
        <v>98</v>
      </c>
      <c r="EJ53">
        <v>1</v>
      </c>
      <c r="EK53">
        <v>11001</v>
      </c>
      <c r="EL53" t="s">
        <v>98</v>
      </c>
      <c r="EM53" t="s">
        <v>99</v>
      </c>
      <c r="EO53" t="s">
        <v>75</v>
      </c>
      <c r="EQ53">
        <v>0</v>
      </c>
      <c r="ER53">
        <v>222.34</v>
      </c>
      <c r="ES53">
        <v>80.4</v>
      </c>
      <c r="ET53">
        <v>0</v>
      </c>
      <c r="EU53">
        <v>0</v>
      </c>
      <c r="EV53">
        <v>141.94</v>
      </c>
      <c r="EW53">
        <v>16.64</v>
      </c>
      <c r="EX53">
        <v>0</v>
      </c>
      <c r="EY53">
        <v>0</v>
      </c>
      <c r="FQ53">
        <v>0</v>
      </c>
      <c r="FR53">
        <f t="shared" si="47"/>
        <v>0</v>
      </c>
      <c r="FS53">
        <v>0</v>
      </c>
      <c r="FX53">
        <v>112</v>
      </c>
      <c r="FY53">
        <v>55.25</v>
      </c>
      <c r="GD53">
        <v>1</v>
      </c>
      <c r="GF53">
        <v>-159475479</v>
      </c>
      <c r="GG53">
        <v>2</v>
      </c>
      <c r="GH53">
        <v>1</v>
      </c>
      <c r="GI53">
        <v>4</v>
      </c>
      <c r="GJ53">
        <v>0</v>
      </c>
      <c r="GK53">
        <v>0</v>
      </c>
      <c r="GL53">
        <f t="shared" si="48"/>
        <v>0</v>
      </c>
      <c r="GM53">
        <f t="shared" si="49"/>
        <v>504.87</v>
      </c>
      <c r="GN53">
        <f t="shared" si="50"/>
        <v>504.87</v>
      </c>
      <c r="GO53">
        <f t="shared" si="51"/>
        <v>0</v>
      </c>
      <c r="GP53">
        <f t="shared" si="52"/>
        <v>0</v>
      </c>
      <c r="GR53">
        <v>0</v>
      </c>
      <c r="GS53">
        <v>3</v>
      </c>
      <c r="GT53">
        <v>0</v>
      </c>
      <c r="GV53">
        <f t="shared" si="53"/>
        <v>0</v>
      </c>
      <c r="GW53">
        <v>1</v>
      </c>
      <c r="GX53">
        <f t="shared" si="54"/>
        <v>0</v>
      </c>
      <c r="HA53">
        <v>0</v>
      </c>
      <c r="HB53">
        <v>0</v>
      </c>
      <c r="HC53">
        <f t="shared" si="55"/>
        <v>0</v>
      </c>
      <c r="HN53" t="s">
        <v>100</v>
      </c>
      <c r="HO53" t="s">
        <v>101</v>
      </c>
      <c r="HP53" t="s">
        <v>98</v>
      </c>
      <c r="HQ53" t="s">
        <v>98</v>
      </c>
      <c r="IK53">
        <v>0</v>
      </c>
    </row>
    <row r="54" spans="1:255" ht="12.75">
      <c r="A54" s="2">
        <v>18</v>
      </c>
      <c r="B54" s="2">
        <v>1</v>
      </c>
      <c r="C54" s="2">
        <v>85</v>
      </c>
      <c r="D54" s="2"/>
      <c r="E54" s="2" t="s">
        <v>102</v>
      </c>
      <c r="F54" s="2" t="s">
        <v>103</v>
      </c>
      <c r="G54" s="2" t="s">
        <v>104</v>
      </c>
      <c r="H54" s="2" t="s">
        <v>93</v>
      </c>
      <c r="I54" s="2">
        <f>I52*J54</f>
        <v>3.15</v>
      </c>
      <c r="J54" s="2">
        <v>105</v>
      </c>
      <c r="K54" s="2">
        <v>105</v>
      </c>
      <c r="L54" s="2"/>
      <c r="M54" s="2"/>
      <c r="N54" s="2"/>
      <c r="O54" s="2">
        <f t="shared" si="21"/>
        <v>71.13</v>
      </c>
      <c r="P54" s="2">
        <f t="shared" si="22"/>
        <v>71.13</v>
      </c>
      <c r="Q54" s="2">
        <f t="shared" si="23"/>
        <v>0</v>
      </c>
      <c r="R54" s="2">
        <f t="shared" si="24"/>
        <v>0</v>
      </c>
      <c r="S54" s="2">
        <f t="shared" si="25"/>
        <v>0</v>
      </c>
      <c r="T54" s="2">
        <f t="shared" si="26"/>
        <v>0</v>
      </c>
      <c r="U54" s="2">
        <f t="shared" si="27"/>
        <v>0</v>
      </c>
      <c r="V54" s="2">
        <f t="shared" si="28"/>
        <v>0</v>
      </c>
      <c r="W54" s="2">
        <f t="shared" si="29"/>
        <v>0</v>
      </c>
      <c r="X54" s="2">
        <f t="shared" si="30"/>
        <v>0</v>
      </c>
      <c r="Y54" s="2">
        <f t="shared" si="31"/>
        <v>0</v>
      </c>
      <c r="Z54" s="2"/>
      <c r="AA54" s="2">
        <v>55668703</v>
      </c>
      <c r="AB54" s="2">
        <f t="shared" si="32"/>
        <v>22.58</v>
      </c>
      <c r="AC54" s="2">
        <f t="shared" si="56"/>
        <v>22.58</v>
      </c>
      <c r="AD54" s="2">
        <f>ROUND((((ET54)-(EU54))+AE54),2)</f>
        <v>0</v>
      </c>
      <c r="AE54" s="2">
        <f>ROUND((EU54),2)</f>
        <v>0</v>
      </c>
      <c r="AF54" s="2">
        <f>ROUND((EV54),2)</f>
        <v>0</v>
      </c>
      <c r="AG54" s="2">
        <f t="shared" si="34"/>
        <v>0</v>
      </c>
      <c r="AH54" s="2">
        <f>(EW54)</f>
        <v>0</v>
      </c>
      <c r="AI54" s="2">
        <f>(EX54)</f>
        <v>0</v>
      </c>
      <c r="AJ54" s="2">
        <f t="shared" si="36"/>
        <v>0</v>
      </c>
      <c r="AK54" s="2">
        <v>22.58</v>
      </c>
      <c r="AL54" s="2">
        <v>22.58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112</v>
      </c>
      <c r="AU54" s="2">
        <v>75</v>
      </c>
      <c r="AV54" s="2">
        <v>1</v>
      </c>
      <c r="AW54" s="2">
        <v>1</v>
      </c>
      <c r="AX54" s="2"/>
      <c r="AY54" s="2"/>
      <c r="AZ54" s="2">
        <v>1</v>
      </c>
      <c r="BA54" s="2">
        <v>1</v>
      </c>
      <c r="BB54" s="2">
        <v>1</v>
      </c>
      <c r="BC54" s="2">
        <v>1</v>
      </c>
      <c r="BD54" s="2" t="s">
        <v>3</v>
      </c>
      <c r="BE54" s="2" t="s">
        <v>3</v>
      </c>
      <c r="BF54" s="2" t="s">
        <v>3</v>
      </c>
      <c r="BG54" s="2" t="s">
        <v>3</v>
      </c>
      <c r="BH54" s="2">
        <v>3</v>
      </c>
      <c r="BI54" s="2">
        <v>1</v>
      </c>
      <c r="BJ54" s="2" t="s">
        <v>105</v>
      </c>
      <c r="BK54" s="2"/>
      <c r="BL54" s="2"/>
      <c r="BM54" s="2">
        <v>11001</v>
      </c>
      <c r="BN54" s="2">
        <v>0</v>
      </c>
      <c r="BO54" s="2" t="s">
        <v>3</v>
      </c>
      <c r="BP54" s="2">
        <v>0</v>
      </c>
      <c r="BQ54" s="2">
        <v>2</v>
      </c>
      <c r="BR54" s="2">
        <v>0</v>
      </c>
      <c r="BS54" s="2">
        <v>1</v>
      </c>
      <c r="BT54" s="2">
        <v>1</v>
      </c>
      <c r="BU54" s="2">
        <v>1</v>
      </c>
      <c r="BV54" s="2">
        <v>1</v>
      </c>
      <c r="BW54" s="2">
        <v>1</v>
      </c>
      <c r="BX54" s="2">
        <v>1</v>
      </c>
      <c r="BY54" s="2" t="s">
        <v>3</v>
      </c>
      <c r="BZ54" s="2">
        <v>112</v>
      </c>
      <c r="CA54" s="2">
        <v>75</v>
      </c>
      <c r="CB54" s="2" t="s">
        <v>3</v>
      </c>
      <c r="CC54" s="2"/>
      <c r="CD54" s="2"/>
      <c r="CE54" s="2">
        <v>0</v>
      </c>
      <c r="CF54" s="2">
        <v>0</v>
      </c>
      <c r="CG54" s="2">
        <v>0</v>
      </c>
      <c r="CH54" s="2"/>
      <c r="CI54" s="2"/>
      <c r="CJ54" s="2"/>
      <c r="CK54" s="2"/>
      <c r="CL54" s="2"/>
      <c r="CM54" s="2">
        <v>0</v>
      </c>
      <c r="CN54" s="2" t="s">
        <v>3</v>
      </c>
      <c r="CO54" s="2">
        <v>0</v>
      </c>
      <c r="CP54" s="2">
        <f t="shared" si="37"/>
        <v>71.13</v>
      </c>
      <c r="CQ54" s="2">
        <f t="shared" si="38"/>
        <v>22.58</v>
      </c>
      <c r="CR54" s="2">
        <f>(((ET54)*BB54-(EU54)*BS54)+AE54*BS54)</f>
        <v>0</v>
      </c>
      <c r="CS54" s="2">
        <f t="shared" si="39"/>
        <v>0</v>
      </c>
      <c r="CT54" s="2">
        <f t="shared" si="40"/>
        <v>0</v>
      </c>
      <c r="CU54" s="2">
        <f t="shared" si="41"/>
        <v>0</v>
      </c>
      <c r="CV54" s="2">
        <f t="shared" si="42"/>
        <v>0</v>
      </c>
      <c r="CW54" s="2">
        <f t="shared" si="43"/>
        <v>0</v>
      </c>
      <c r="CX54" s="2">
        <f t="shared" si="44"/>
        <v>0</v>
      </c>
      <c r="CY54" s="2">
        <f t="shared" si="45"/>
        <v>0</v>
      </c>
      <c r="CZ54" s="2">
        <f t="shared" si="46"/>
        <v>0</v>
      </c>
      <c r="DA54" s="2"/>
      <c r="DB54" s="2"/>
      <c r="DC54" s="2" t="s">
        <v>3</v>
      </c>
      <c r="DD54" s="2" t="s">
        <v>3</v>
      </c>
      <c r="DE54" s="2" t="s">
        <v>3</v>
      </c>
      <c r="DF54" s="2" t="s">
        <v>3</v>
      </c>
      <c r="DG54" s="2" t="s">
        <v>3</v>
      </c>
      <c r="DH54" s="2" t="s">
        <v>3</v>
      </c>
      <c r="DI54" s="2" t="s">
        <v>3</v>
      </c>
      <c r="DJ54" s="2" t="s">
        <v>3</v>
      </c>
      <c r="DK54" s="2" t="s">
        <v>3</v>
      </c>
      <c r="DL54" s="2" t="s">
        <v>3</v>
      </c>
      <c r="DM54" s="2" t="s">
        <v>3</v>
      </c>
      <c r="DN54" s="2">
        <v>0</v>
      </c>
      <c r="DO54" s="2">
        <v>0</v>
      </c>
      <c r="DP54" s="2">
        <v>1</v>
      </c>
      <c r="DQ54" s="2">
        <v>1</v>
      </c>
      <c r="DR54" s="2"/>
      <c r="DS54" s="2"/>
      <c r="DT54" s="2"/>
      <c r="DU54" s="2">
        <v>1003</v>
      </c>
      <c r="DV54" s="2" t="s">
        <v>93</v>
      </c>
      <c r="DW54" s="2" t="s">
        <v>93</v>
      </c>
      <c r="DX54" s="2">
        <v>1</v>
      </c>
      <c r="DY54" s="2"/>
      <c r="DZ54" s="2" t="s">
        <v>3</v>
      </c>
      <c r="EA54" s="2" t="s">
        <v>3</v>
      </c>
      <c r="EB54" s="2" t="s">
        <v>3</v>
      </c>
      <c r="EC54" s="2" t="s">
        <v>3</v>
      </c>
      <c r="ED54" s="2"/>
      <c r="EE54" s="2">
        <v>55471663</v>
      </c>
      <c r="EF54" s="2">
        <v>2</v>
      </c>
      <c r="EG54" s="2" t="s">
        <v>31</v>
      </c>
      <c r="EH54" s="2">
        <v>11</v>
      </c>
      <c r="EI54" s="2" t="s">
        <v>98</v>
      </c>
      <c r="EJ54" s="2">
        <v>1</v>
      </c>
      <c r="EK54" s="2">
        <v>11001</v>
      </c>
      <c r="EL54" s="2" t="s">
        <v>98</v>
      </c>
      <c r="EM54" s="2" t="s">
        <v>99</v>
      </c>
      <c r="EN54" s="2"/>
      <c r="EO54" s="2" t="s">
        <v>3</v>
      </c>
      <c r="EP54" s="2"/>
      <c r="EQ54" s="2">
        <v>0</v>
      </c>
      <c r="ER54" s="2">
        <v>22.58</v>
      </c>
      <c r="ES54" s="2">
        <v>22.58</v>
      </c>
      <c r="ET54" s="2">
        <v>0</v>
      </c>
      <c r="EU54" s="2">
        <v>0</v>
      </c>
      <c r="EV54" s="2">
        <v>0</v>
      </c>
      <c r="EW54" s="2">
        <v>0</v>
      </c>
      <c r="EX54" s="2">
        <v>0</v>
      </c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>
        <v>0</v>
      </c>
      <c r="FR54" s="2">
        <f t="shared" si="47"/>
        <v>0</v>
      </c>
      <c r="FS54" s="2">
        <v>0</v>
      </c>
      <c r="FT54" s="2"/>
      <c r="FU54" s="2"/>
      <c r="FV54" s="2"/>
      <c r="FW54" s="2"/>
      <c r="FX54" s="2">
        <v>112</v>
      </c>
      <c r="FY54" s="2">
        <v>75</v>
      </c>
      <c r="FZ54" s="2"/>
      <c r="GA54" s="2" t="s">
        <v>3</v>
      </c>
      <c r="GB54" s="2"/>
      <c r="GC54" s="2"/>
      <c r="GD54" s="2">
        <v>1</v>
      </c>
      <c r="GE54" s="2"/>
      <c r="GF54" s="2">
        <v>-208962189</v>
      </c>
      <c r="GG54" s="2">
        <v>2</v>
      </c>
      <c r="GH54" s="2">
        <v>1</v>
      </c>
      <c r="GI54" s="2">
        <v>-2</v>
      </c>
      <c r="GJ54" s="2">
        <v>0</v>
      </c>
      <c r="GK54" s="2">
        <v>0</v>
      </c>
      <c r="GL54" s="2">
        <f t="shared" si="48"/>
        <v>0</v>
      </c>
      <c r="GM54" s="2">
        <f t="shared" si="49"/>
        <v>71.13</v>
      </c>
      <c r="GN54" s="2">
        <f t="shared" si="50"/>
        <v>71.13</v>
      </c>
      <c r="GO54" s="2">
        <f t="shared" si="51"/>
        <v>0</v>
      </c>
      <c r="GP54" s="2">
        <f t="shared" si="52"/>
        <v>0</v>
      </c>
      <c r="GQ54" s="2"/>
      <c r="GR54" s="2">
        <v>0</v>
      </c>
      <c r="GS54" s="2">
        <v>3</v>
      </c>
      <c r="GT54" s="2">
        <v>0</v>
      </c>
      <c r="GU54" s="2" t="s">
        <v>3</v>
      </c>
      <c r="GV54" s="2">
        <f t="shared" si="53"/>
        <v>0</v>
      </c>
      <c r="GW54" s="2">
        <v>1</v>
      </c>
      <c r="GX54" s="2">
        <f t="shared" si="54"/>
        <v>0</v>
      </c>
      <c r="GY54" s="2"/>
      <c r="GZ54" s="2"/>
      <c r="HA54" s="2">
        <v>0</v>
      </c>
      <c r="HB54" s="2">
        <v>0</v>
      </c>
      <c r="HC54" s="2">
        <f t="shared" si="55"/>
        <v>0</v>
      </c>
      <c r="HD54" s="2"/>
      <c r="HE54" s="2" t="s">
        <v>3</v>
      </c>
      <c r="HF54" s="2" t="s">
        <v>3</v>
      </c>
      <c r="HG54" s="2"/>
      <c r="HH54" s="2"/>
      <c r="HI54" s="2"/>
      <c r="HJ54" s="2"/>
      <c r="HK54" s="2"/>
      <c r="HL54" s="2"/>
      <c r="HM54" s="2" t="s">
        <v>3</v>
      </c>
      <c r="HN54" s="2" t="s">
        <v>100</v>
      </c>
      <c r="HO54" s="2" t="s">
        <v>101</v>
      </c>
      <c r="HP54" s="2" t="s">
        <v>98</v>
      </c>
      <c r="HQ54" s="2" t="s">
        <v>98</v>
      </c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>
        <v>0</v>
      </c>
      <c r="IL54" s="2"/>
      <c r="IM54" s="2"/>
      <c r="IN54" s="2"/>
      <c r="IO54" s="2"/>
      <c r="IP54" s="2"/>
      <c r="IQ54" s="2"/>
      <c r="IR54" s="2"/>
      <c r="IS54" s="2"/>
      <c r="IT54" s="2"/>
      <c r="IU54" s="2"/>
    </row>
    <row r="55" spans="1:245" ht="12.75">
      <c r="A55">
        <v>18</v>
      </c>
      <c r="B55">
        <v>1</v>
      </c>
      <c r="C55">
        <v>88</v>
      </c>
      <c r="E55" t="s">
        <v>102</v>
      </c>
      <c r="F55" t="s">
        <v>103</v>
      </c>
      <c r="G55" t="s">
        <v>104</v>
      </c>
      <c r="H55" t="s">
        <v>93</v>
      </c>
      <c r="I55">
        <f>I53*J55</f>
        <v>3.15</v>
      </c>
      <c r="J55">
        <v>105</v>
      </c>
      <c r="K55">
        <v>105</v>
      </c>
      <c r="O55">
        <f t="shared" si="21"/>
        <v>477.97</v>
      </c>
      <c r="P55">
        <f t="shared" si="22"/>
        <v>477.97</v>
      </c>
      <c r="Q55">
        <f t="shared" si="23"/>
        <v>0</v>
      </c>
      <c r="R55">
        <f t="shared" si="24"/>
        <v>0</v>
      </c>
      <c r="S55">
        <f t="shared" si="25"/>
        <v>0</v>
      </c>
      <c r="T55">
        <f t="shared" si="26"/>
        <v>0</v>
      </c>
      <c r="U55">
        <f t="shared" si="27"/>
        <v>0</v>
      </c>
      <c r="V55">
        <f t="shared" si="28"/>
        <v>0</v>
      </c>
      <c r="W55">
        <f t="shared" si="29"/>
        <v>0</v>
      </c>
      <c r="X55">
        <f t="shared" si="30"/>
        <v>0</v>
      </c>
      <c r="Y55">
        <f t="shared" si="31"/>
        <v>0</v>
      </c>
      <c r="AA55">
        <v>55668704</v>
      </c>
      <c r="AB55">
        <f t="shared" si="32"/>
        <v>22.58</v>
      </c>
      <c r="AC55">
        <f t="shared" si="56"/>
        <v>22.58</v>
      </c>
      <c r="AD55">
        <f>ROUND((((ET55)-(EU55))+AE55),2)</f>
        <v>0</v>
      </c>
      <c r="AE55">
        <f>ROUND((EU55),2)</f>
        <v>0</v>
      </c>
      <c r="AF55">
        <f>ROUND((EV55),2)</f>
        <v>0</v>
      </c>
      <c r="AG55">
        <f t="shared" si="34"/>
        <v>0</v>
      </c>
      <c r="AH55">
        <f>(EW55)</f>
        <v>0</v>
      </c>
      <c r="AI55">
        <f>(EX55)</f>
        <v>0</v>
      </c>
      <c r="AJ55">
        <f t="shared" si="36"/>
        <v>0</v>
      </c>
      <c r="AK55">
        <v>22.58</v>
      </c>
      <c r="AL55">
        <v>22.58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112</v>
      </c>
      <c r="AU55">
        <v>65</v>
      </c>
      <c r="AV55">
        <v>1</v>
      </c>
      <c r="AW55">
        <v>1</v>
      </c>
      <c r="AZ55">
        <v>1</v>
      </c>
      <c r="BA55">
        <v>1</v>
      </c>
      <c r="BB55">
        <v>1</v>
      </c>
      <c r="BC55">
        <v>6.72</v>
      </c>
      <c r="BH55">
        <v>3</v>
      </c>
      <c r="BI55">
        <v>1</v>
      </c>
      <c r="BJ55" t="s">
        <v>105</v>
      </c>
      <c r="BM55">
        <v>11001</v>
      </c>
      <c r="BN55">
        <v>0</v>
      </c>
      <c r="BO55" t="s">
        <v>37</v>
      </c>
      <c r="BP55">
        <v>1</v>
      </c>
      <c r="BQ55">
        <v>2</v>
      </c>
      <c r="BR55">
        <v>0</v>
      </c>
      <c r="BS55">
        <v>1</v>
      </c>
      <c r="BT55">
        <v>1</v>
      </c>
      <c r="BU55">
        <v>1</v>
      </c>
      <c r="BV55">
        <v>1</v>
      </c>
      <c r="BW55">
        <v>1</v>
      </c>
      <c r="BX55">
        <v>1</v>
      </c>
      <c r="BZ55">
        <v>112</v>
      </c>
      <c r="CA55">
        <v>65</v>
      </c>
      <c r="CE55">
        <v>0</v>
      </c>
      <c r="CF55">
        <v>0</v>
      </c>
      <c r="CG55">
        <v>0</v>
      </c>
      <c r="CM55">
        <v>0</v>
      </c>
      <c r="CO55">
        <v>0</v>
      </c>
      <c r="CP55">
        <f t="shared" si="37"/>
        <v>477.97</v>
      </c>
      <c r="CQ55">
        <f t="shared" si="38"/>
        <v>151.7376</v>
      </c>
      <c r="CR55">
        <f>(((ET55)*BB55-(EU55)*BS55)+AE55*BS55)</f>
        <v>0</v>
      </c>
      <c r="CS55">
        <f t="shared" si="39"/>
        <v>0</v>
      </c>
      <c r="CT55">
        <f t="shared" si="40"/>
        <v>0</v>
      </c>
      <c r="CU55">
        <f t="shared" si="41"/>
        <v>0</v>
      </c>
      <c r="CV55">
        <f t="shared" si="42"/>
        <v>0</v>
      </c>
      <c r="CW55">
        <f t="shared" si="43"/>
        <v>0</v>
      </c>
      <c r="CX55">
        <f t="shared" si="44"/>
        <v>0</v>
      </c>
      <c r="CY55">
        <f t="shared" si="45"/>
        <v>0</v>
      </c>
      <c r="CZ55">
        <f t="shared" si="46"/>
        <v>0</v>
      </c>
      <c r="DN55">
        <v>0</v>
      </c>
      <c r="DO55">
        <v>0</v>
      </c>
      <c r="DP55">
        <v>1</v>
      </c>
      <c r="DQ55">
        <v>1</v>
      </c>
      <c r="DU55">
        <v>1003</v>
      </c>
      <c r="DV55" t="s">
        <v>93</v>
      </c>
      <c r="DW55" t="s">
        <v>93</v>
      </c>
      <c r="DX55">
        <v>1</v>
      </c>
      <c r="EE55">
        <v>55471663</v>
      </c>
      <c r="EF55">
        <v>2</v>
      </c>
      <c r="EG55" t="s">
        <v>31</v>
      </c>
      <c r="EH55">
        <v>11</v>
      </c>
      <c r="EI55" t="s">
        <v>98</v>
      </c>
      <c r="EJ55">
        <v>1</v>
      </c>
      <c r="EK55">
        <v>11001</v>
      </c>
      <c r="EL55" t="s">
        <v>98</v>
      </c>
      <c r="EM55" t="s">
        <v>99</v>
      </c>
      <c r="EQ55">
        <v>0</v>
      </c>
      <c r="ER55">
        <v>22.58</v>
      </c>
      <c r="ES55">
        <v>22.58</v>
      </c>
      <c r="ET55">
        <v>0</v>
      </c>
      <c r="EU55">
        <v>0</v>
      </c>
      <c r="EV55">
        <v>0</v>
      </c>
      <c r="EW55">
        <v>0</v>
      </c>
      <c r="EX55">
        <v>0</v>
      </c>
      <c r="FQ55">
        <v>0</v>
      </c>
      <c r="FR55">
        <f t="shared" si="47"/>
        <v>0</v>
      </c>
      <c r="FS55">
        <v>0</v>
      </c>
      <c r="FX55">
        <v>112</v>
      </c>
      <c r="FY55">
        <v>65</v>
      </c>
      <c r="GD55">
        <v>1</v>
      </c>
      <c r="GF55">
        <v>-208962189</v>
      </c>
      <c r="GG55">
        <v>2</v>
      </c>
      <c r="GH55">
        <v>1</v>
      </c>
      <c r="GI55">
        <v>4</v>
      </c>
      <c r="GJ55">
        <v>0</v>
      </c>
      <c r="GK55">
        <v>0</v>
      </c>
      <c r="GL55">
        <f t="shared" si="48"/>
        <v>0</v>
      </c>
      <c r="GM55">
        <f t="shared" si="49"/>
        <v>477.97</v>
      </c>
      <c r="GN55">
        <f t="shared" si="50"/>
        <v>477.97</v>
      </c>
      <c r="GO55">
        <f t="shared" si="51"/>
        <v>0</v>
      </c>
      <c r="GP55">
        <f t="shared" si="52"/>
        <v>0</v>
      </c>
      <c r="GR55">
        <v>0</v>
      </c>
      <c r="GS55">
        <v>0</v>
      </c>
      <c r="GT55">
        <v>0</v>
      </c>
      <c r="GV55">
        <f t="shared" si="53"/>
        <v>0</v>
      </c>
      <c r="GW55">
        <v>1</v>
      </c>
      <c r="GX55">
        <f t="shared" si="54"/>
        <v>0</v>
      </c>
      <c r="HA55">
        <v>0</v>
      </c>
      <c r="HB55">
        <v>0</v>
      </c>
      <c r="HC55">
        <f t="shared" si="55"/>
        <v>0</v>
      </c>
      <c r="HN55" t="s">
        <v>100</v>
      </c>
      <c r="HO55" t="s">
        <v>101</v>
      </c>
      <c r="HP55" t="s">
        <v>98</v>
      </c>
      <c r="HQ55" t="s">
        <v>98</v>
      </c>
      <c r="IK55">
        <v>0</v>
      </c>
    </row>
    <row r="56" spans="1:255" ht="12.75">
      <c r="A56" s="2">
        <v>17</v>
      </c>
      <c r="B56" s="2">
        <v>1</v>
      </c>
      <c r="C56" s="2">
        <f>ROW(SmtRes!A99)</f>
        <v>99</v>
      </c>
      <c r="D56" s="2">
        <f>ROW(EtalonRes!A112)</f>
        <v>112</v>
      </c>
      <c r="E56" s="2" t="s">
        <v>106</v>
      </c>
      <c r="F56" s="2" t="s">
        <v>107</v>
      </c>
      <c r="G56" s="2" t="s">
        <v>108</v>
      </c>
      <c r="H56" s="2" t="s">
        <v>26</v>
      </c>
      <c r="I56" s="2">
        <f>ROUND(6.38/100,7)</f>
        <v>0.0638</v>
      </c>
      <c r="J56" s="2">
        <v>0</v>
      </c>
      <c r="K56" s="2">
        <f>ROUND(6.38/100,7)</f>
        <v>0.0638</v>
      </c>
      <c r="L56" s="2"/>
      <c r="M56" s="2"/>
      <c r="N56" s="2"/>
      <c r="O56" s="2">
        <f t="shared" si="21"/>
        <v>215.04</v>
      </c>
      <c r="P56" s="2">
        <f t="shared" si="22"/>
        <v>89.46</v>
      </c>
      <c r="Q56" s="2">
        <f t="shared" si="23"/>
        <v>70.34</v>
      </c>
      <c r="R56" s="2">
        <f t="shared" si="24"/>
        <v>10.74</v>
      </c>
      <c r="S56" s="2">
        <f t="shared" si="25"/>
        <v>55.24</v>
      </c>
      <c r="T56" s="2">
        <f t="shared" si="26"/>
        <v>0</v>
      </c>
      <c r="U56" s="2">
        <f t="shared" si="27"/>
        <v>5.876936999999998</v>
      </c>
      <c r="V56" s="2">
        <f t="shared" si="28"/>
        <v>0.81664</v>
      </c>
      <c r="W56" s="2">
        <f t="shared" si="29"/>
        <v>0</v>
      </c>
      <c r="X56" s="2">
        <f t="shared" si="30"/>
        <v>71.26</v>
      </c>
      <c r="Y56" s="2">
        <f t="shared" si="31"/>
        <v>30.85</v>
      </c>
      <c r="Z56" s="2"/>
      <c r="AA56" s="2">
        <v>55668703</v>
      </c>
      <c r="AB56" s="2">
        <f t="shared" si="32"/>
        <v>3370.48</v>
      </c>
      <c r="AC56" s="2">
        <f t="shared" si="56"/>
        <v>1402.15</v>
      </c>
      <c r="AD56" s="2">
        <f>ROUND(((((ET56*ROUND(1.25,7)))-((EU56*ROUND(1.25,7))))+AE56),2)</f>
        <v>1102.45</v>
      </c>
      <c r="AE56" s="2">
        <f>ROUND(((EU56*ROUND(1.25,7))),2)</f>
        <v>168.29</v>
      </c>
      <c r="AF56" s="2">
        <f>ROUND(((EV56*ROUND(1.15,7))),2)</f>
        <v>865.88</v>
      </c>
      <c r="AG56" s="2">
        <f t="shared" si="34"/>
        <v>0</v>
      </c>
      <c r="AH56" s="2">
        <f>((EW56*ROUND(1.15,7)))</f>
        <v>92.11499999999998</v>
      </c>
      <c r="AI56" s="2">
        <f>((EX56*ROUND(1.25,7)))</f>
        <v>12.8</v>
      </c>
      <c r="AJ56" s="2">
        <f t="shared" si="36"/>
        <v>0</v>
      </c>
      <c r="AK56" s="2">
        <v>3037.05</v>
      </c>
      <c r="AL56" s="2">
        <v>1402.15</v>
      </c>
      <c r="AM56" s="2">
        <v>881.96</v>
      </c>
      <c r="AN56" s="2">
        <v>134.63</v>
      </c>
      <c r="AO56" s="2">
        <v>752.94</v>
      </c>
      <c r="AP56" s="2">
        <v>0</v>
      </c>
      <c r="AQ56" s="2">
        <v>80.1</v>
      </c>
      <c r="AR56" s="2">
        <v>10.24</v>
      </c>
      <c r="AS56" s="2">
        <v>0</v>
      </c>
      <c r="AT56" s="2">
        <v>108</v>
      </c>
      <c r="AU56" s="2">
        <v>46.75</v>
      </c>
      <c r="AV56" s="2">
        <v>1</v>
      </c>
      <c r="AW56" s="2">
        <v>1</v>
      </c>
      <c r="AX56" s="2"/>
      <c r="AY56" s="2"/>
      <c r="AZ56" s="2">
        <v>1</v>
      </c>
      <c r="BA56" s="2">
        <v>1</v>
      </c>
      <c r="BB56" s="2">
        <v>1</v>
      </c>
      <c r="BC56" s="2">
        <v>1</v>
      </c>
      <c r="BD56" s="2" t="s">
        <v>3</v>
      </c>
      <c r="BE56" s="2" t="s">
        <v>3</v>
      </c>
      <c r="BF56" s="2" t="s">
        <v>3</v>
      </c>
      <c r="BG56" s="2" t="s">
        <v>3</v>
      </c>
      <c r="BH56" s="2">
        <v>0</v>
      </c>
      <c r="BI56" s="2">
        <v>1</v>
      </c>
      <c r="BJ56" s="2" t="s">
        <v>109</v>
      </c>
      <c r="BK56" s="2"/>
      <c r="BL56" s="2"/>
      <c r="BM56" s="2">
        <v>10001</v>
      </c>
      <c r="BN56" s="2">
        <v>0</v>
      </c>
      <c r="BO56" s="2" t="s">
        <v>3</v>
      </c>
      <c r="BP56" s="2">
        <v>0</v>
      </c>
      <c r="BQ56" s="2">
        <v>2</v>
      </c>
      <c r="BR56" s="2">
        <v>0</v>
      </c>
      <c r="BS56" s="2">
        <v>1</v>
      </c>
      <c r="BT56" s="2">
        <v>1</v>
      </c>
      <c r="BU56" s="2">
        <v>1</v>
      </c>
      <c r="BV56" s="2">
        <v>1</v>
      </c>
      <c r="BW56" s="2">
        <v>1</v>
      </c>
      <c r="BX56" s="2">
        <v>1</v>
      </c>
      <c r="BY56" s="2" t="s">
        <v>3</v>
      </c>
      <c r="BZ56" s="2">
        <v>108</v>
      </c>
      <c r="CA56" s="2">
        <v>55</v>
      </c>
      <c r="CB56" s="2" t="s">
        <v>3</v>
      </c>
      <c r="CC56" s="2"/>
      <c r="CD56" s="2"/>
      <c r="CE56" s="2">
        <v>0</v>
      </c>
      <c r="CF56" s="2">
        <v>0</v>
      </c>
      <c r="CG56" s="2">
        <v>0</v>
      </c>
      <c r="CH56" s="2"/>
      <c r="CI56" s="2"/>
      <c r="CJ56" s="2"/>
      <c r="CK56" s="2"/>
      <c r="CL56" s="2"/>
      <c r="CM56" s="2">
        <v>0</v>
      </c>
      <c r="CN56" s="2" t="s">
        <v>385</v>
      </c>
      <c r="CO56" s="2">
        <v>0</v>
      </c>
      <c r="CP56" s="2">
        <f t="shared" si="37"/>
        <v>215.04000000000002</v>
      </c>
      <c r="CQ56" s="2">
        <f t="shared" si="38"/>
        <v>1402.15</v>
      </c>
      <c r="CR56" s="2">
        <f>((((ET56*ROUND(1.25,7)))*BB56-((EU56*ROUND(1.25,7)))*BS56)+AE56*BS56)</f>
        <v>1102.4525</v>
      </c>
      <c r="CS56" s="2">
        <f t="shared" si="39"/>
        <v>168.29</v>
      </c>
      <c r="CT56" s="2">
        <f t="shared" si="40"/>
        <v>865.88</v>
      </c>
      <c r="CU56" s="2">
        <f t="shared" si="41"/>
        <v>0</v>
      </c>
      <c r="CV56" s="2">
        <f t="shared" si="42"/>
        <v>92.11499999999998</v>
      </c>
      <c r="CW56" s="2">
        <f t="shared" si="43"/>
        <v>12.8</v>
      </c>
      <c r="CX56" s="2">
        <f t="shared" si="44"/>
        <v>0</v>
      </c>
      <c r="CY56" s="2">
        <f t="shared" si="45"/>
        <v>71.2584</v>
      </c>
      <c r="CZ56" s="2">
        <f t="shared" si="46"/>
        <v>30.84565</v>
      </c>
      <c r="DA56" s="2"/>
      <c r="DB56" s="2"/>
      <c r="DC56" s="2" t="s">
        <v>3</v>
      </c>
      <c r="DD56" s="2" t="s">
        <v>3</v>
      </c>
      <c r="DE56" s="2" t="s">
        <v>72</v>
      </c>
      <c r="DF56" s="2" t="s">
        <v>72</v>
      </c>
      <c r="DG56" s="2" t="s">
        <v>73</v>
      </c>
      <c r="DH56" s="2" t="s">
        <v>3</v>
      </c>
      <c r="DI56" s="2" t="s">
        <v>73</v>
      </c>
      <c r="DJ56" s="2" t="s">
        <v>72</v>
      </c>
      <c r="DK56" s="2" t="s">
        <v>3</v>
      </c>
      <c r="DL56" s="2" t="s">
        <v>3</v>
      </c>
      <c r="DM56" s="2" t="s">
        <v>74</v>
      </c>
      <c r="DN56" s="2">
        <v>0</v>
      </c>
      <c r="DO56" s="2">
        <v>0</v>
      </c>
      <c r="DP56" s="2">
        <v>1</v>
      </c>
      <c r="DQ56" s="2">
        <v>1</v>
      </c>
      <c r="DR56" s="2"/>
      <c r="DS56" s="2"/>
      <c r="DT56" s="2"/>
      <c r="DU56" s="2">
        <v>1005</v>
      </c>
      <c r="DV56" s="2" t="s">
        <v>26</v>
      </c>
      <c r="DW56" s="2" t="s">
        <v>26</v>
      </c>
      <c r="DX56" s="2">
        <v>100</v>
      </c>
      <c r="DY56" s="2"/>
      <c r="DZ56" s="2" t="s">
        <v>3</v>
      </c>
      <c r="EA56" s="2" t="s">
        <v>3</v>
      </c>
      <c r="EB56" s="2" t="s">
        <v>3</v>
      </c>
      <c r="EC56" s="2" t="s">
        <v>3</v>
      </c>
      <c r="ED56" s="2"/>
      <c r="EE56" s="2">
        <v>55471661</v>
      </c>
      <c r="EF56" s="2">
        <v>2</v>
      </c>
      <c r="EG56" s="2" t="s">
        <v>31</v>
      </c>
      <c r="EH56" s="2">
        <v>10</v>
      </c>
      <c r="EI56" s="2" t="s">
        <v>110</v>
      </c>
      <c r="EJ56" s="2">
        <v>1</v>
      </c>
      <c r="EK56" s="2">
        <v>10001</v>
      </c>
      <c r="EL56" s="2" t="s">
        <v>110</v>
      </c>
      <c r="EM56" s="2" t="s">
        <v>111</v>
      </c>
      <c r="EN56" s="2"/>
      <c r="EO56" s="2" t="s">
        <v>75</v>
      </c>
      <c r="EP56" s="2"/>
      <c r="EQ56" s="2">
        <v>0</v>
      </c>
      <c r="ER56" s="2">
        <v>3037.05</v>
      </c>
      <c r="ES56" s="2">
        <v>1402.15</v>
      </c>
      <c r="ET56" s="2">
        <v>881.96</v>
      </c>
      <c r="EU56" s="2">
        <v>134.63</v>
      </c>
      <c r="EV56" s="2">
        <v>752.94</v>
      </c>
      <c r="EW56" s="2">
        <v>80.1</v>
      </c>
      <c r="EX56" s="2">
        <v>10.24</v>
      </c>
      <c r="EY56" s="2">
        <v>0</v>
      </c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>
        <v>0</v>
      </c>
      <c r="FR56" s="2">
        <f t="shared" si="47"/>
        <v>0</v>
      </c>
      <c r="FS56" s="2">
        <v>0</v>
      </c>
      <c r="FT56" s="2"/>
      <c r="FU56" s="2"/>
      <c r="FV56" s="2"/>
      <c r="FW56" s="2"/>
      <c r="FX56" s="2">
        <v>108</v>
      </c>
      <c r="FY56" s="2">
        <v>46.75</v>
      </c>
      <c r="FZ56" s="2"/>
      <c r="GA56" s="2" t="s">
        <v>3</v>
      </c>
      <c r="GB56" s="2"/>
      <c r="GC56" s="2"/>
      <c r="GD56" s="2">
        <v>1</v>
      </c>
      <c r="GE56" s="2"/>
      <c r="GF56" s="2">
        <v>53514500</v>
      </c>
      <c r="GG56" s="2">
        <v>2</v>
      </c>
      <c r="GH56" s="2">
        <v>1</v>
      </c>
      <c r="GI56" s="2">
        <v>-2</v>
      </c>
      <c r="GJ56" s="2">
        <v>0</v>
      </c>
      <c r="GK56" s="2">
        <v>0</v>
      </c>
      <c r="GL56" s="2">
        <f t="shared" si="48"/>
        <v>0</v>
      </c>
      <c r="GM56" s="2">
        <f t="shared" si="49"/>
        <v>317.15</v>
      </c>
      <c r="GN56" s="2">
        <f t="shared" si="50"/>
        <v>317.15</v>
      </c>
      <c r="GO56" s="2">
        <f t="shared" si="51"/>
        <v>0</v>
      </c>
      <c r="GP56" s="2">
        <f t="shared" si="52"/>
        <v>0</v>
      </c>
      <c r="GQ56" s="2"/>
      <c r="GR56" s="2">
        <v>0</v>
      </c>
      <c r="GS56" s="2">
        <v>3</v>
      </c>
      <c r="GT56" s="2">
        <v>0</v>
      </c>
      <c r="GU56" s="2" t="s">
        <v>3</v>
      </c>
      <c r="GV56" s="2">
        <f t="shared" si="53"/>
        <v>0</v>
      </c>
      <c r="GW56" s="2">
        <v>1</v>
      </c>
      <c r="GX56" s="2">
        <f t="shared" si="54"/>
        <v>0</v>
      </c>
      <c r="GY56" s="2"/>
      <c r="GZ56" s="2"/>
      <c r="HA56" s="2">
        <v>0</v>
      </c>
      <c r="HB56" s="2">
        <v>0</v>
      </c>
      <c r="HC56" s="2">
        <f t="shared" si="55"/>
        <v>0</v>
      </c>
      <c r="HD56" s="2"/>
      <c r="HE56" s="2" t="s">
        <v>3</v>
      </c>
      <c r="HF56" s="2" t="s">
        <v>3</v>
      </c>
      <c r="HG56" s="2"/>
      <c r="HH56" s="2"/>
      <c r="HI56" s="2"/>
      <c r="HJ56" s="2"/>
      <c r="HK56" s="2"/>
      <c r="HL56" s="2"/>
      <c r="HM56" s="2" t="s">
        <v>3</v>
      </c>
      <c r="HN56" s="2" t="s">
        <v>112</v>
      </c>
      <c r="HO56" s="2" t="s">
        <v>113</v>
      </c>
      <c r="HP56" s="2" t="s">
        <v>110</v>
      </c>
      <c r="HQ56" s="2" t="s">
        <v>110</v>
      </c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>
        <v>0</v>
      </c>
      <c r="IL56" s="2"/>
      <c r="IM56" s="2"/>
      <c r="IN56" s="2"/>
      <c r="IO56" s="2"/>
      <c r="IP56" s="2"/>
      <c r="IQ56" s="2"/>
      <c r="IR56" s="2"/>
      <c r="IS56" s="2"/>
      <c r="IT56" s="2"/>
      <c r="IU56" s="2"/>
    </row>
    <row r="57" spans="1:245" ht="12.75">
      <c r="A57">
        <v>17</v>
      </c>
      <c r="B57">
        <v>1</v>
      </c>
      <c r="C57">
        <f>ROW(SmtRes!A110)</f>
        <v>110</v>
      </c>
      <c r="D57">
        <f>ROW(EtalonRes!A124)</f>
        <v>124</v>
      </c>
      <c r="E57" t="s">
        <v>106</v>
      </c>
      <c r="F57" t="s">
        <v>107</v>
      </c>
      <c r="G57" t="s">
        <v>108</v>
      </c>
      <c r="H57" t="s">
        <v>26</v>
      </c>
      <c r="I57">
        <f>ROUND(6.38/100,7)</f>
        <v>0.0638</v>
      </c>
      <c r="J57">
        <v>0</v>
      </c>
      <c r="K57">
        <f>ROUND(6.38/100,7)</f>
        <v>0.0638</v>
      </c>
      <c r="O57">
        <f t="shared" si="21"/>
        <v>3595.19</v>
      </c>
      <c r="P57">
        <f t="shared" si="22"/>
        <v>601.15</v>
      </c>
      <c r="Q57">
        <f t="shared" si="23"/>
        <v>931.26</v>
      </c>
      <c r="R57">
        <f t="shared" si="24"/>
        <v>400.92</v>
      </c>
      <c r="S57">
        <f t="shared" si="25"/>
        <v>2062.78</v>
      </c>
      <c r="T57">
        <f t="shared" si="26"/>
        <v>0</v>
      </c>
      <c r="U57">
        <f t="shared" si="27"/>
        <v>5.876936999999998</v>
      </c>
      <c r="V57">
        <f t="shared" si="28"/>
        <v>0.81664</v>
      </c>
      <c r="W57">
        <f t="shared" si="29"/>
        <v>0</v>
      </c>
      <c r="X57">
        <f t="shared" si="30"/>
        <v>2660.8</v>
      </c>
      <c r="Y57">
        <f t="shared" si="31"/>
        <v>1151.78</v>
      </c>
      <c r="AA57">
        <v>55668704</v>
      </c>
      <c r="AB57">
        <f t="shared" si="32"/>
        <v>3370.48</v>
      </c>
      <c r="AC57">
        <f t="shared" si="56"/>
        <v>1402.15</v>
      </c>
      <c r="AD57">
        <f>ROUND(((((ET57*ROUND(1.25,7)))-((EU57*ROUND(1.25,7))))+AE57),2)</f>
        <v>1102.45</v>
      </c>
      <c r="AE57">
        <f>ROUND(((EU57*ROUND(1.25,7))),2)</f>
        <v>168.29</v>
      </c>
      <c r="AF57">
        <f>ROUND(((EV57*ROUND(1.15,7))),2)</f>
        <v>865.88</v>
      </c>
      <c r="AG57">
        <f t="shared" si="34"/>
        <v>0</v>
      </c>
      <c r="AH57">
        <f>((EW57*ROUND(1.15,7)))</f>
        <v>92.11499999999998</v>
      </c>
      <c r="AI57">
        <f>((EX57*ROUND(1.25,7)))</f>
        <v>12.8</v>
      </c>
      <c r="AJ57">
        <f t="shared" si="36"/>
        <v>0</v>
      </c>
      <c r="AK57">
        <v>3037.05</v>
      </c>
      <c r="AL57">
        <v>1402.15</v>
      </c>
      <c r="AM57">
        <v>881.96</v>
      </c>
      <c r="AN57">
        <v>134.63</v>
      </c>
      <c r="AO57">
        <v>752.94</v>
      </c>
      <c r="AP57">
        <v>0</v>
      </c>
      <c r="AQ57">
        <v>80.1</v>
      </c>
      <c r="AR57">
        <v>10.24</v>
      </c>
      <c r="AS57">
        <v>0</v>
      </c>
      <c r="AT57">
        <v>108</v>
      </c>
      <c r="AU57">
        <v>46.75</v>
      </c>
      <c r="AV57">
        <v>1</v>
      </c>
      <c r="AW57">
        <v>1</v>
      </c>
      <c r="AZ57">
        <v>1</v>
      </c>
      <c r="BA57">
        <v>37.34</v>
      </c>
      <c r="BB57">
        <v>13.24</v>
      </c>
      <c r="BC57">
        <v>6.72</v>
      </c>
      <c r="BH57">
        <v>0</v>
      </c>
      <c r="BI57">
        <v>1</v>
      </c>
      <c r="BJ57" t="s">
        <v>109</v>
      </c>
      <c r="BM57">
        <v>10001</v>
      </c>
      <c r="BN57">
        <v>0</v>
      </c>
      <c r="BO57" t="s">
        <v>37</v>
      </c>
      <c r="BP57">
        <v>1</v>
      </c>
      <c r="BQ57">
        <v>2</v>
      </c>
      <c r="BR57">
        <v>0</v>
      </c>
      <c r="BS57">
        <v>37.34</v>
      </c>
      <c r="BT57">
        <v>1</v>
      </c>
      <c r="BU57">
        <v>1</v>
      </c>
      <c r="BV57">
        <v>1</v>
      </c>
      <c r="BW57">
        <v>1</v>
      </c>
      <c r="BX57">
        <v>1</v>
      </c>
      <c r="BZ57">
        <v>108</v>
      </c>
      <c r="CA57">
        <v>55</v>
      </c>
      <c r="CE57">
        <v>0</v>
      </c>
      <c r="CF57">
        <v>0</v>
      </c>
      <c r="CG57">
        <v>0</v>
      </c>
      <c r="CM57">
        <v>0</v>
      </c>
      <c r="CN57" t="s">
        <v>385</v>
      </c>
      <c r="CO57">
        <v>0</v>
      </c>
      <c r="CP57">
        <f t="shared" si="37"/>
        <v>3595.19</v>
      </c>
      <c r="CQ57">
        <f t="shared" si="38"/>
        <v>9422.448</v>
      </c>
      <c r="CR57">
        <f>((((ET57*ROUND(1.25,7)))*BB57-((EU57*ROUND(1.25,7)))*BS57)+AE57*BS57)</f>
        <v>14596.531350000001</v>
      </c>
      <c r="CS57">
        <f t="shared" si="39"/>
        <v>6283.948600000001</v>
      </c>
      <c r="CT57">
        <f t="shared" si="40"/>
        <v>32331.9592</v>
      </c>
      <c r="CU57">
        <f t="shared" si="41"/>
        <v>0</v>
      </c>
      <c r="CV57">
        <f t="shared" si="42"/>
        <v>92.11499999999998</v>
      </c>
      <c r="CW57">
        <f t="shared" si="43"/>
        <v>12.8</v>
      </c>
      <c r="CX57">
        <f t="shared" si="44"/>
        <v>0</v>
      </c>
      <c r="CY57">
        <f t="shared" si="45"/>
        <v>2660.7960000000003</v>
      </c>
      <c r="CZ57">
        <f t="shared" si="46"/>
        <v>1151.7797500000001</v>
      </c>
      <c r="DE57" t="s">
        <v>72</v>
      </c>
      <c r="DF57" t="s">
        <v>72</v>
      </c>
      <c r="DG57" t="s">
        <v>73</v>
      </c>
      <c r="DI57" t="s">
        <v>73</v>
      </c>
      <c r="DJ57" t="s">
        <v>72</v>
      </c>
      <c r="DM57" t="s">
        <v>74</v>
      </c>
      <c r="DN57">
        <v>0</v>
      </c>
      <c r="DO57">
        <v>0</v>
      </c>
      <c r="DP57">
        <v>1</v>
      </c>
      <c r="DQ57">
        <v>1</v>
      </c>
      <c r="DU57">
        <v>1005</v>
      </c>
      <c r="DV57" t="s">
        <v>26</v>
      </c>
      <c r="DW57" t="s">
        <v>26</v>
      </c>
      <c r="DX57">
        <v>100</v>
      </c>
      <c r="EE57">
        <v>55471661</v>
      </c>
      <c r="EF57">
        <v>2</v>
      </c>
      <c r="EG57" t="s">
        <v>31</v>
      </c>
      <c r="EH57">
        <v>10</v>
      </c>
      <c r="EI57" t="s">
        <v>110</v>
      </c>
      <c r="EJ57">
        <v>1</v>
      </c>
      <c r="EK57">
        <v>10001</v>
      </c>
      <c r="EL57" t="s">
        <v>110</v>
      </c>
      <c r="EM57" t="s">
        <v>111</v>
      </c>
      <c r="EO57" t="s">
        <v>75</v>
      </c>
      <c r="EQ57">
        <v>0</v>
      </c>
      <c r="ER57">
        <v>3037.05</v>
      </c>
      <c r="ES57">
        <v>1402.15</v>
      </c>
      <c r="ET57">
        <v>881.96</v>
      </c>
      <c r="EU57">
        <v>134.63</v>
      </c>
      <c r="EV57">
        <v>752.94</v>
      </c>
      <c r="EW57">
        <v>80.1</v>
      </c>
      <c r="EX57">
        <v>10.24</v>
      </c>
      <c r="EY57">
        <v>0</v>
      </c>
      <c r="FQ57">
        <v>0</v>
      </c>
      <c r="FR57">
        <f t="shared" si="47"/>
        <v>0</v>
      </c>
      <c r="FS57">
        <v>0</v>
      </c>
      <c r="FX57">
        <v>108</v>
      </c>
      <c r="FY57">
        <v>46.75</v>
      </c>
      <c r="GD57">
        <v>1</v>
      </c>
      <c r="GF57">
        <v>53514500</v>
      </c>
      <c r="GG57">
        <v>2</v>
      </c>
      <c r="GH57">
        <v>1</v>
      </c>
      <c r="GI57">
        <v>4</v>
      </c>
      <c r="GJ57">
        <v>0</v>
      </c>
      <c r="GK57">
        <v>0</v>
      </c>
      <c r="GL57">
        <f t="shared" si="48"/>
        <v>0</v>
      </c>
      <c r="GM57">
        <f t="shared" si="49"/>
        <v>7407.77</v>
      </c>
      <c r="GN57">
        <f t="shared" si="50"/>
        <v>7407.77</v>
      </c>
      <c r="GO57">
        <f t="shared" si="51"/>
        <v>0</v>
      </c>
      <c r="GP57">
        <f t="shared" si="52"/>
        <v>0</v>
      </c>
      <c r="GR57">
        <v>0</v>
      </c>
      <c r="GS57">
        <v>3</v>
      </c>
      <c r="GT57">
        <v>0</v>
      </c>
      <c r="GV57">
        <f t="shared" si="53"/>
        <v>0</v>
      </c>
      <c r="GW57">
        <v>1</v>
      </c>
      <c r="GX57">
        <f t="shared" si="54"/>
        <v>0</v>
      </c>
      <c r="HA57">
        <v>0</v>
      </c>
      <c r="HB57">
        <v>0</v>
      </c>
      <c r="HC57">
        <f t="shared" si="55"/>
        <v>0</v>
      </c>
      <c r="HN57" t="s">
        <v>112</v>
      </c>
      <c r="HO57" t="s">
        <v>113</v>
      </c>
      <c r="HP57" t="s">
        <v>110</v>
      </c>
      <c r="HQ57" t="s">
        <v>110</v>
      </c>
      <c r="IK57">
        <v>0</v>
      </c>
    </row>
    <row r="58" spans="1:255" ht="12.75">
      <c r="A58" s="2">
        <v>18</v>
      </c>
      <c r="B58" s="2">
        <v>1</v>
      </c>
      <c r="C58" s="2">
        <v>99</v>
      </c>
      <c r="D58" s="2"/>
      <c r="E58" s="2" t="s">
        <v>114</v>
      </c>
      <c r="F58" s="2" t="s">
        <v>79</v>
      </c>
      <c r="G58" s="2" t="s">
        <v>386</v>
      </c>
      <c r="H58" s="2" t="s">
        <v>115</v>
      </c>
      <c r="I58" s="2">
        <f>I56*J58</f>
        <v>2</v>
      </c>
      <c r="J58" s="2">
        <v>31.347962382445143</v>
      </c>
      <c r="K58" s="2">
        <v>31.347962</v>
      </c>
      <c r="L58" s="2"/>
      <c r="M58" s="2"/>
      <c r="N58" s="2"/>
      <c r="O58" s="2">
        <f t="shared" si="21"/>
        <v>256960</v>
      </c>
      <c r="P58" s="2">
        <f t="shared" si="22"/>
        <v>256960</v>
      </c>
      <c r="Q58" s="2">
        <f t="shared" si="23"/>
        <v>0</v>
      </c>
      <c r="R58" s="2">
        <f t="shared" si="24"/>
        <v>0</v>
      </c>
      <c r="S58" s="2">
        <f t="shared" si="25"/>
        <v>0</v>
      </c>
      <c r="T58" s="2">
        <f t="shared" si="26"/>
        <v>0</v>
      </c>
      <c r="U58" s="2">
        <f t="shared" si="27"/>
        <v>0</v>
      </c>
      <c r="V58" s="2">
        <f t="shared" si="28"/>
        <v>0</v>
      </c>
      <c r="W58" s="2">
        <f t="shared" si="29"/>
        <v>0</v>
      </c>
      <c r="X58" s="2">
        <f t="shared" si="30"/>
        <v>0</v>
      </c>
      <c r="Y58" s="2">
        <f t="shared" si="31"/>
        <v>0</v>
      </c>
      <c r="Z58" s="2"/>
      <c r="AA58" s="2">
        <v>55668703</v>
      </c>
      <c r="AB58" s="2">
        <f t="shared" si="32"/>
        <v>128480</v>
      </c>
      <c r="AC58" s="2">
        <f t="shared" si="56"/>
        <v>128480</v>
      </c>
      <c r="AD58" s="2">
        <f>ROUND((((ET58)-(EU58))+AE58),2)</f>
        <v>0</v>
      </c>
      <c r="AE58" s="2">
        <f>ROUND((EU58),2)</f>
        <v>0</v>
      </c>
      <c r="AF58" s="2">
        <f>ROUND((EV58),2)</f>
        <v>0</v>
      </c>
      <c r="AG58" s="2">
        <f t="shared" si="34"/>
        <v>0</v>
      </c>
      <c r="AH58" s="2">
        <f>(EW58)</f>
        <v>0</v>
      </c>
      <c r="AI58" s="2">
        <f>(EX58)</f>
        <v>0</v>
      </c>
      <c r="AJ58" s="2">
        <f t="shared" si="36"/>
        <v>0</v>
      </c>
      <c r="AK58" s="2">
        <v>128480</v>
      </c>
      <c r="AL58" s="2">
        <v>128480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90</v>
      </c>
      <c r="AU58" s="2">
        <v>46</v>
      </c>
      <c r="AV58" s="2">
        <v>1</v>
      </c>
      <c r="AW58" s="2">
        <v>1</v>
      </c>
      <c r="AX58" s="2"/>
      <c r="AY58" s="2"/>
      <c r="AZ58" s="2">
        <v>1</v>
      </c>
      <c r="BA58" s="2">
        <v>1</v>
      </c>
      <c r="BB58" s="2">
        <v>1</v>
      </c>
      <c r="BC58" s="2">
        <v>1</v>
      </c>
      <c r="BD58" s="2" t="s">
        <v>3</v>
      </c>
      <c r="BE58" s="2" t="s">
        <v>3</v>
      </c>
      <c r="BF58" s="2" t="s">
        <v>3</v>
      </c>
      <c r="BG58" s="2" t="s">
        <v>3</v>
      </c>
      <c r="BH58" s="2">
        <v>3</v>
      </c>
      <c r="BI58" s="2">
        <v>2</v>
      </c>
      <c r="BJ58" s="2" t="s">
        <v>3</v>
      </c>
      <c r="BK58" s="2"/>
      <c r="BL58" s="2"/>
      <c r="BM58" s="2">
        <v>110007</v>
      </c>
      <c r="BN58" s="2">
        <v>0</v>
      </c>
      <c r="BO58" s="2" t="s">
        <v>3</v>
      </c>
      <c r="BP58" s="2">
        <v>0</v>
      </c>
      <c r="BQ58" s="2">
        <v>3</v>
      </c>
      <c r="BR58" s="2">
        <v>0</v>
      </c>
      <c r="BS58" s="2">
        <v>1</v>
      </c>
      <c r="BT58" s="2">
        <v>1</v>
      </c>
      <c r="BU58" s="2">
        <v>1</v>
      </c>
      <c r="BV58" s="2">
        <v>1</v>
      </c>
      <c r="BW58" s="2">
        <v>1</v>
      </c>
      <c r="BX58" s="2">
        <v>1</v>
      </c>
      <c r="BY58" s="2" t="s">
        <v>3</v>
      </c>
      <c r="BZ58" s="2">
        <v>90</v>
      </c>
      <c r="CA58" s="2">
        <v>46</v>
      </c>
      <c r="CB58" s="2" t="s">
        <v>3</v>
      </c>
      <c r="CC58" s="2"/>
      <c r="CD58" s="2"/>
      <c r="CE58" s="2">
        <v>0</v>
      </c>
      <c r="CF58" s="2">
        <v>0</v>
      </c>
      <c r="CG58" s="2">
        <v>0</v>
      </c>
      <c r="CH58" s="2"/>
      <c r="CI58" s="2"/>
      <c r="CJ58" s="2"/>
      <c r="CK58" s="2"/>
      <c r="CL58" s="2"/>
      <c r="CM58" s="2">
        <v>0</v>
      </c>
      <c r="CN58" s="2" t="s">
        <v>3</v>
      </c>
      <c r="CO58" s="2">
        <v>0</v>
      </c>
      <c r="CP58" s="2">
        <f t="shared" si="37"/>
        <v>256960</v>
      </c>
      <c r="CQ58" s="2">
        <f t="shared" si="38"/>
        <v>128480</v>
      </c>
      <c r="CR58" s="2">
        <f>(((ET58)*BB58-(EU58)*BS58)+AE58*BS58)</f>
        <v>0</v>
      </c>
      <c r="CS58" s="2">
        <f t="shared" si="39"/>
        <v>0</v>
      </c>
      <c r="CT58" s="2">
        <f t="shared" si="40"/>
        <v>0</v>
      </c>
      <c r="CU58" s="2">
        <f t="shared" si="41"/>
        <v>0</v>
      </c>
      <c r="CV58" s="2">
        <f t="shared" si="42"/>
        <v>0</v>
      </c>
      <c r="CW58" s="2">
        <f t="shared" si="43"/>
        <v>0</v>
      </c>
      <c r="CX58" s="2">
        <f t="shared" si="44"/>
        <v>0</v>
      </c>
      <c r="CY58" s="2">
        <f t="shared" si="45"/>
        <v>0</v>
      </c>
      <c r="CZ58" s="2">
        <f t="shared" si="46"/>
        <v>0</v>
      </c>
      <c r="DA58" s="2"/>
      <c r="DB58" s="2"/>
      <c r="DC58" s="2" t="s">
        <v>3</v>
      </c>
      <c r="DD58" s="2" t="s">
        <v>3</v>
      </c>
      <c r="DE58" s="2" t="s">
        <v>3</v>
      </c>
      <c r="DF58" s="2" t="s">
        <v>3</v>
      </c>
      <c r="DG58" s="2" t="s">
        <v>3</v>
      </c>
      <c r="DH58" s="2" t="s">
        <v>3</v>
      </c>
      <c r="DI58" s="2" t="s">
        <v>3</v>
      </c>
      <c r="DJ58" s="2" t="s">
        <v>3</v>
      </c>
      <c r="DK58" s="2" t="s">
        <v>3</v>
      </c>
      <c r="DL58" s="2" t="s">
        <v>3</v>
      </c>
      <c r="DM58" s="2" t="s">
        <v>3</v>
      </c>
      <c r="DN58" s="2">
        <v>0</v>
      </c>
      <c r="DO58" s="2">
        <v>0</v>
      </c>
      <c r="DP58" s="2">
        <v>1</v>
      </c>
      <c r="DQ58" s="2">
        <v>1</v>
      </c>
      <c r="DR58" s="2"/>
      <c r="DS58" s="2"/>
      <c r="DT58" s="2"/>
      <c r="DU58" s="2">
        <v>1013</v>
      </c>
      <c r="DV58" s="2" t="s">
        <v>115</v>
      </c>
      <c r="DW58" s="2" t="s">
        <v>115</v>
      </c>
      <c r="DX58" s="2">
        <v>1</v>
      </c>
      <c r="DY58" s="2"/>
      <c r="DZ58" s="2" t="s">
        <v>3</v>
      </c>
      <c r="EA58" s="2" t="s">
        <v>3</v>
      </c>
      <c r="EB58" s="2" t="s">
        <v>3</v>
      </c>
      <c r="EC58" s="2" t="s">
        <v>3</v>
      </c>
      <c r="ED58" s="2"/>
      <c r="EE58" s="2">
        <v>55471563</v>
      </c>
      <c r="EF58" s="2">
        <v>3</v>
      </c>
      <c r="EG58" s="2" t="s">
        <v>116</v>
      </c>
      <c r="EH58" s="2">
        <v>0</v>
      </c>
      <c r="EI58" s="2" t="s">
        <v>3</v>
      </c>
      <c r="EJ58" s="2">
        <v>2</v>
      </c>
      <c r="EK58" s="2">
        <v>110007</v>
      </c>
      <c r="EL58" s="2" t="s">
        <v>117</v>
      </c>
      <c r="EM58" s="2" t="s">
        <v>118</v>
      </c>
      <c r="EN58" s="2"/>
      <c r="EO58" s="2" t="s">
        <v>3</v>
      </c>
      <c r="EP58" s="2"/>
      <c r="EQ58" s="2">
        <v>0</v>
      </c>
      <c r="ER58" s="2">
        <v>0</v>
      </c>
      <c r="ES58" s="2">
        <v>128480</v>
      </c>
      <c r="ET58" s="2">
        <v>0</v>
      </c>
      <c r="EU58" s="2">
        <v>0</v>
      </c>
      <c r="EV58" s="2">
        <v>0</v>
      </c>
      <c r="EW58" s="2">
        <v>0</v>
      </c>
      <c r="EX58" s="2">
        <v>0</v>
      </c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>
        <v>0</v>
      </c>
      <c r="FR58" s="2">
        <f t="shared" si="47"/>
        <v>0</v>
      </c>
      <c r="FS58" s="2">
        <v>0</v>
      </c>
      <c r="FT58" s="2"/>
      <c r="FU58" s="2"/>
      <c r="FV58" s="2"/>
      <c r="FW58" s="2"/>
      <c r="FX58" s="2">
        <v>90</v>
      </c>
      <c r="FY58" s="2">
        <v>46</v>
      </c>
      <c r="FZ58" s="2"/>
      <c r="GA58" s="2" t="s">
        <v>82</v>
      </c>
      <c r="GB58" s="2"/>
      <c r="GC58" s="2"/>
      <c r="GD58" s="2">
        <v>1</v>
      </c>
      <c r="GE58" s="2"/>
      <c r="GF58" s="2">
        <v>-872054346</v>
      </c>
      <c r="GG58" s="2">
        <v>2</v>
      </c>
      <c r="GH58" s="2">
        <v>4</v>
      </c>
      <c r="GI58" s="2">
        <v>-2</v>
      </c>
      <c r="GJ58" s="2">
        <v>0</v>
      </c>
      <c r="GK58" s="2">
        <v>0</v>
      </c>
      <c r="GL58" s="2">
        <f t="shared" si="48"/>
        <v>0</v>
      </c>
      <c r="GM58" s="2">
        <f t="shared" si="49"/>
        <v>256960</v>
      </c>
      <c r="GN58" s="2">
        <f t="shared" si="50"/>
        <v>0</v>
      </c>
      <c r="GO58" s="2">
        <f t="shared" si="51"/>
        <v>256960</v>
      </c>
      <c r="GP58" s="2">
        <f t="shared" si="52"/>
        <v>0</v>
      </c>
      <c r="GQ58" s="2"/>
      <c r="GR58" s="2">
        <v>0</v>
      </c>
      <c r="GS58" s="2">
        <v>2</v>
      </c>
      <c r="GT58" s="2">
        <v>0</v>
      </c>
      <c r="GU58" s="2" t="s">
        <v>3</v>
      </c>
      <c r="GV58" s="2">
        <f t="shared" si="53"/>
        <v>0</v>
      </c>
      <c r="GW58" s="2">
        <v>1</v>
      </c>
      <c r="GX58" s="2">
        <f t="shared" si="54"/>
        <v>0</v>
      </c>
      <c r="GY58" s="2"/>
      <c r="GZ58" s="2"/>
      <c r="HA58" s="2">
        <v>0</v>
      </c>
      <c r="HB58" s="2">
        <v>0</v>
      </c>
      <c r="HC58" s="2">
        <f t="shared" si="55"/>
        <v>0</v>
      </c>
      <c r="HD58" s="2"/>
      <c r="HE58" s="2" t="s">
        <v>3</v>
      </c>
      <c r="HF58" s="2" t="s">
        <v>3</v>
      </c>
      <c r="HG58" s="2"/>
      <c r="HH58" s="2"/>
      <c r="HI58" s="2"/>
      <c r="HJ58" s="2"/>
      <c r="HK58" s="2"/>
      <c r="HL58" s="2"/>
      <c r="HM58" s="2" t="s">
        <v>3</v>
      </c>
      <c r="HN58" s="2" t="s">
        <v>119</v>
      </c>
      <c r="HO58" s="2" t="s">
        <v>120</v>
      </c>
      <c r="HP58" s="2" t="s">
        <v>121</v>
      </c>
      <c r="HQ58" s="2" t="s">
        <v>121</v>
      </c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>
        <v>0</v>
      </c>
      <c r="IL58" s="2"/>
      <c r="IM58" s="2"/>
      <c r="IN58" s="2"/>
      <c r="IO58" s="2"/>
      <c r="IP58" s="2"/>
      <c r="IQ58" s="2"/>
      <c r="IR58" s="2"/>
      <c r="IS58" s="2"/>
      <c r="IT58" s="2"/>
      <c r="IU58" s="2"/>
    </row>
    <row r="59" spans="1:245" ht="12.75">
      <c r="A59">
        <v>18</v>
      </c>
      <c r="B59">
        <v>1</v>
      </c>
      <c r="C59">
        <v>110</v>
      </c>
      <c r="E59" t="s">
        <v>114</v>
      </c>
      <c r="F59" t="s">
        <v>79</v>
      </c>
      <c r="G59" t="s">
        <v>386</v>
      </c>
      <c r="H59" t="s">
        <v>115</v>
      </c>
      <c r="I59">
        <f>I57*J59</f>
        <v>2</v>
      </c>
      <c r="J59">
        <v>31.347962382445143</v>
      </c>
      <c r="K59">
        <v>31.347962</v>
      </c>
      <c r="O59">
        <f t="shared" si="21"/>
        <v>256960</v>
      </c>
      <c r="P59">
        <f t="shared" si="22"/>
        <v>256960</v>
      </c>
      <c r="Q59">
        <f t="shared" si="23"/>
        <v>0</v>
      </c>
      <c r="R59">
        <f t="shared" si="24"/>
        <v>0</v>
      </c>
      <c r="S59">
        <f t="shared" si="25"/>
        <v>0</v>
      </c>
      <c r="T59">
        <f t="shared" si="26"/>
        <v>0</v>
      </c>
      <c r="U59">
        <f t="shared" si="27"/>
        <v>0</v>
      </c>
      <c r="V59">
        <f t="shared" si="28"/>
        <v>0</v>
      </c>
      <c r="W59">
        <f t="shared" si="29"/>
        <v>0</v>
      </c>
      <c r="X59">
        <f t="shared" si="30"/>
        <v>0</v>
      </c>
      <c r="Y59">
        <f t="shared" si="31"/>
        <v>0</v>
      </c>
      <c r="AA59">
        <v>55668704</v>
      </c>
      <c r="AB59">
        <f t="shared" si="32"/>
        <v>128480</v>
      </c>
      <c r="AC59">
        <f t="shared" si="56"/>
        <v>128480</v>
      </c>
      <c r="AD59">
        <f>ROUND((((ET59)-(EU59))+AE59),2)</f>
        <v>0</v>
      </c>
      <c r="AE59">
        <f>ROUND((EU59),2)</f>
        <v>0</v>
      </c>
      <c r="AF59">
        <f>ROUND((EV59),2)</f>
        <v>0</v>
      </c>
      <c r="AG59">
        <f t="shared" si="34"/>
        <v>0</v>
      </c>
      <c r="AH59">
        <f>(EW59)</f>
        <v>0</v>
      </c>
      <c r="AI59">
        <f>(EX59)</f>
        <v>0</v>
      </c>
      <c r="AJ59">
        <f t="shared" si="36"/>
        <v>0</v>
      </c>
      <c r="AK59">
        <v>128480</v>
      </c>
      <c r="AL59">
        <v>128480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90</v>
      </c>
      <c r="AU59">
        <v>46</v>
      </c>
      <c r="AV59">
        <v>1</v>
      </c>
      <c r="AW59">
        <v>1</v>
      </c>
      <c r="AZ59">
        <v>1</v>
      </c>
      <c r="BA59">
        <v>1</v>
      </c>
      <c r="BB59">
        <v>1</v>
      </c>
      <c r="BC59">
        <v>1</v>
      </c>
      <c r="BH59">
        <v>3</v>
      </c>
      <c r="BI59">
        <v>2</v>
      </c>
      <c r="BM59">
        <v>110007</v>
      </c>
      <c r="BN59">
        <v>0</v>
      </c>
      <c r="BP59">
        <v>0</v>
      </c>
      <c r="BQ59">
        <v>3</v>
      </c>
      <c r="BR59">
        <v>0</v>
      </c>
      <c r="BS59">
        <v>1</v>
      </c>
      <c r="BT59">
        <v>1</v>
      </c>
      <c r="BU59">
        <v>1</v>
      </c>
      <c r="BV59">
        <v>1</v>
      </c>
      <c r="BW59">
        <v>1</v>
      </c>
      <c r="BX59">
        <v>1</v>
      </c>
      <c r="BZ59">
        <v>90</v>
      </c>
      <c r="CA59">
        <v>46</v>
      </c>
      <c r="CE59">
        <v>0</v>
      </c>
      <c r="CF59">
        <v>0</v>
      </c>
      <c r="CG59">
        <v>0</v>
      </c>
      <c r="CM59">
        <v>0</v>
      </c>
      <c r="CO59">
        <v>0</v>
      </c>
      <c r="CP59">
        <f t="shared" si="37"/>
        <v>256960</v>
      </c>
      <c r="CQ59">
        <f t="shared" si="38"/>
        <v>128480</v>
      </c>
      <c r="CR59">
        <f>(((ET59)*BB59-(EU59)*BS59)+AE59*BS59)</f>
        <v>0</v>
      </c>
      <c r="CS59">
        <f t="shared" si="39"/>
        <v>0</v>
      </c>
      <c r="CT59">
        <f t="shared" si="40"/>
        <v>0</v>
      </c>
      <c r="CU59">
        <f t="shared" si="41"/>
        <v>0</v>
      </c>
      <c r="CV59">
        <f t="shared" si="42"/>
        <v>0</v>
      </c>
      <c r="CW59">
        <f t="shared" si="43"/>
        <v>0</v>
      </c>
      <c r="CX59">
        <f t="shared" si="44"/>
        <v>0</v>
      </c>
      <c r="CY59">
        <f t="shared" si="45"/>
        <v>0</v>
      </c>
      <c r="CZ59">
        <f t="shared" si="46"/>
        <v>0</v>
      </c>
      <c r="DN59">
        <v>0</v>
      </c>
      <c r="DO59">
        <v>0</v>
      </c>
      <c r="DP59">
        <v>1</v>
      </c>
      <c r="DQ59">
        <v>1</v>
      </c>
      <c r="DU59">
        <v>1013</v>
      </c>
      <c r="DV59" t="s">
        <v>115</v>
      </c>
      <c r="DW59" t="s">
        <v>115</v>
      </c>
      <c r="DX59">
        <v>1</v>
      </c>
      <c r="EE59">
        <v>55471563</v>
      </c>
      <c r="EF59">
        <v>3</v>
      </c>
      <c r="EG59" t="s">
        <v>116</v>
      </c>
      <c r="EH59">
        <v>0</v>
      </c>
      <c r="EJ59">
        <v>2</v>
      </c>
      <c r="EK59">
        <v>110007</v>
      </c>
      <c r="EL59" t="s">
        <v>117</v>
      </c>
      <c r="EM59" t="s">
        <v>118</v>
      </c>
      <c r="EQ59">
        <v>0</v>
      </c>
      <c r="ER59">
        <v>0</v>
      </c>
      <c r="ES59">
        <v>128480</v>
      </c>
      <c r="ET59">
        <v>0</v>
      </c>
      <c r="EU59">
        <v>0</v>
      </c>
      <c r="EV59">
        <v>0</v>
      </c>
      <c r="EW59">
        <v>0</v>
      </c>
      <c r="EX59">
        <v>0</v>
      </c>
      <c r="FQ59">
        <v>0</v>
      </c>
      <c r="FR59">
        <f t="shared" si="47"/>
        <v>0</v>
      </c>
      <c r="FS59">
        <v>0</v>
      </c>
      <c r="FX59">
        <v>90</v>
      </c>
      <c r="FY59">
        <v>46</v>
      </c>
      <c r="GA59" t="s">
        <v>82</v>
      </c>
      <c r="GD59">
        <v>1</v>
      </c>
      <c r="GF59">
        <v>-872054346</v>
      </c>
      <c r="GG59">
        <v>2</v>
      </c>
      <c r="GH59">
        <v>2</v>
      </c>
      <c r="GI59">
        <v>3</v>
      </c>
      <c r="GJ59">
        <v>0</v>
      </c>
      <c r="GK59">
        <v>0</v>
      </c>
      <c r="GL59">
        <f t="shared" si="48"/>
        <v>0</v>
      </c>
      <c r="GM59">
        <f t="shared" si="49"/>
        <v>256960</v>
      </c>
      <c r="GN59">
        <f t="shared" si="50"/>
        <v>0</v>
      </c>
      <c r="GO59">
        <f t="shared" si="51"/>
        <v>256960</v>
      </c>
      <c r="GP59">
        <f t="shared" si="52"/>
        <v>0</v>
      </c>
      <c r="GR59">
        <v>0</v>
      </c>
      <c r="GS59">
        <v>4</v>
      </c>
      <c r="GT59">
        <v>0</v>
      </c>
      <c r="GV59">
        <f t="shared" si="53"/>
        <v>0</v>
      </c>
      <c r="GW59">
        <v>1</v>
      </c>
      <c r="GX59">
        <f t="shared" si="54"/>
        <v>0</v>
      </c>
      <c r="HA59">
        <v>0</v>
      </c>
      <c r="HB59">
        <v>0</v>
      </c>
      <c r="HC59">
        <f t="shared" si="55"/>
        <v>0</v>
      </c>
      <c r="HN59" t="s">
        <v>119</v>
      </c>
      <c r="HO59" t="s">
        <v>120</v>
      </c>
      <c r="HP59" t="s">
        <v>121</v>
      </c>
      <c r="HQ59" t="s">
        <v>121</v>
      </c>
      <c r="IK59">
        <v>0</v>
      </c>
    </row>
    <row r="60" spans="1:255" ht="12.75">
      <c r="A60" s="2">
        <v>17</v>
      </c>
      <c r="B60" s="2">
        <v>1</v>
      </c>
      <c r="C60" s="2">
        <f>ROW(SmtRes!A115)</f>
        <v>115</v>
      </c>
      <c r="D60" s="2">
        <f>ROW(EtalonRes!A130)</f>
        <v>130</v>
      </c>
      <c r="E60" s="2" t="s">
        <v>122</v>
      </c>
      <c r="F60" s="2" t="s">
        <v>123</v>
      </c>
      <c r="G60" s="2" t="s">
        <v>124</v>
      </c>
      <c r="H60" s="2" t="s">
        <v>125</v>
      </c>
      <c r="I60" s="2">
        <f>ROUND(2/100,7)</f>
        <v>0.02</v>
      </c>
      <c r="J60" s="2">
        <v>0</v>
      </c>
      <c r="K60" s="2">
        <f>ROUND(2/100,7)</f>
        <v>0.02</v>
      </c>
      <c r="L60" s="2"/>
      <c r="M60" s="2"/>
      <c r="N60" s="2"/>
      <c r="O60" s="2">
        <f t="shared" si="21"/>
        <v>6.19</v>
      </c>
      <c r="P60" s="2">
        <f t="shared" si="22"/>
        <v>0.04</v>
      </c>
      <c r="Q60" s="2">
        <f t="shared" si="23"/>
        <v>0.34</v>
      </c>
      <c r="R60" s="2">
        <f t="shared" si="24"/>
        <v>0.05</v>
      </c>
      <c r="S60" s="2">
        <f t="shared" si="25"/>
        <v>5.81</v>
      </c>
      <c r="T60" s="2">
        <f t="shared" si="26"/>
        <v>0</v>
      </c>
      <c r="U60" s="2">
        <f t="shared" si="27"/>
        <v>0.61088</v>
      </c>
      <c r="V60" s="2">
        <f t="shared" si="28"/>
        <v>0.0035000000000000005</v>
      </c>
      <c r="W60" s="2">
        <f t="shared" si="29"/>
        <v>0</v>
      </c>
      <c r="X60" s="2">
        <f t="shared" si="30"/>
        <v>6.33</v>
      </c>
      <c r="Y60" s="2">
        <f t="shared" si="31"/>
        <v>2.74</v>
      </c>
      <c r="Z60" s="2"/>
      <c r="AA60" s="2">
        <v>55668703</v>
      </c>
      <c r="AB60" s="2">
        <f t="shared" si="32"/>
        <v>309.78</v>
      </c>
      <c r="AC60" s="2">
        <f t="shared" si="56"/>
        <v>2.2</v>
      </c>
      <c r="AD60" s="2">
        <f>ROUND(((((ET60*ROUND(1.25,7)))-((EU60*ROUND(1.25,7))))+AE60),2)</f>
        <v>17.1</v>
      </c>
      <c r="AE60" s="2">
        <f>ROUND(((EU60*ROUND(1.25,7))),2)</f>
        <v>2.25</v>
      </c>
      <c r="AF60" s="2">
        <f>ROUND(((EV60*ROUND(1.15,7))),2)</f>
        <v>290.48</v>
      </c>
      <c r="AG60" s="2">
        <f t="shared" si="34"/>
        <v>0</v>
      </c>
      <c r="AH60" s="2">
        <f>((EW60*ROUND(1.15,7)))</f>
        <v>30.543999999999997</v>
      </c>
      <c r="AI60" s="2">
        <f>((EX60*ROUND(1.25,7)))</f>
        <v>0.17500000000000002</v>
      </c>
      <c r="AJ60" s="2">
        <f t="shared" si="36"/>
        <v>0</v>
      </c>
      <c r="AK60" s="2">
        <v>268.47</v>
      </c>
      <c r="AL60" s="2">
        <v>2.2</v>
      </c>
      <c r="AM60" s="2">
        <v>13.68</v>
      </c>
      <c r="AN60" s="2">
        <v>1.8</v>
      </c>
      <c r="AO60" s="2">
        <v>252.59</v>
      </c>
      <c r="AP60" s="2">
        <v>0</v>
      </c>
      <c r="AQ60" s="2">
        <v>26.56</v>
      </c>
      <c r="AR60" s="2">
        <v>0.14</v>
      </c>
      <c r="AS60" s="2">
        <v>0</v>
      </c>
      <c r="AT60" s="2">
        <v>108</v>
      </c>
      <c r="AU60" s="2">
        <v>46.75</v>
      </c>
      <c r="AV60" s="2">
        <v>1</v>
      </c>
      <c r="AW60" s="2">
        <v>1</v>
      </c>
      <c r="AX60" s="2"/>
      <c r="AY60" s="2"/>
      <c r="AZ60" s="2">
        <v>1</v>
      </c>
      <c r="BA60" s="2">
        <v>1</v>
      </c>
      <c r="BB60" s="2">
        <v>1</v>
      </c>
      <c r="BC60" s="2">
        <v>1</v>
      </c>
      <c r="BD60" s="2" t="s">
        <v>3</v>
      </c>
      <c r="BE60" s="2" t="s">
        <v>3</v>
      </c>
      <c r="BF60" s="2" t="s">
        <v>3</v>
      </c>
      <c r="BG60" s="2" t="s">
        <v>3</v>
      </c>
      <c r="BH60" s="2">
        <v>0</v>
      </c>
      <c r="BI60" s="2">
        <v>1</v>
      </c>
      <c r="BJ60" s="2" t="s">
        <v>126</v>
      </c>
      <c r="BK60" s="2"/>
      <c r="BL60" s="2"/>
      <c r="BM60" s="2">
        <v>10001</v>
      </c>
      <c r="BN60" s="2">
        <v>0</v>
      </c>
      <c r="BO60" s="2" t="s">
        <v>3</v>
      </c>
      <c r="BP60" s="2">
        <v>0</v>
      </c>
      <c r="BQ60" s="2">
        <v>2</v>
      </c>
      <c r="BR60" s="2">
        <v>0</v>
      </c>
      <c r="BS60" s="2">
        <v>1</v>
      </c>
      <c r="BT60" s="2">
        <v>1</v>
      </c>
      <c r="BU60" s="2">
        <v>1</v>
      </c>
      <c r="BV60" s="2">
        <v>1</v>
      </c>
      <c r="BW60" s="2">
        <v>1</v>
      </c>
      <c r="BX60" s="2">
        <v>1</v>
      </c>
      <c r="BY60" s="2" t="s">
        <v>3</v>
      </c>
      <c r="BZ60" s="2">
        <v>108</v>
      </c>
      <c r="CA60" s="2">
        <v>55</v>
      </c>
      <c r="CB60" s="2" t="s">
        <v>3</v>
      </c>
      <c r="CC60" s="2"/>
      <c r="CD60" s="2"/>
      <c r="CE60" s="2">
        <v>0</v>
      </c>
      <c r="CF60" s="2">
        <v>0</v>
      </c>
      <c r="CG60" s="2">
        <v>0</v>
      </c>
      <c r="CH60" s="2"/>
      <c r="CI60" s="2"/>
      <c r="CJ60" s="2"/>
      <c r="CK60" s="2"/>
      <c r="CL60" s="2"/>
      <c r="CM60" s="2">
        <v>0</v>
      </c>
      <c r="CN60" s="2" t="s">
        <v>385</v>
      </c>
      <c r="CO60" s="2">
        <v>0</v>
      </c>
      <c r="CP60" s="2">
        <f t="shared" si="37"/>
        <v>6.1899999999999995</v>
      </c>
      <c r="CQ60" s="2">
        <f t="shared" si="38"/>
        <v>2.2</v>
      </c>
      <c r="CR60" s="2">
        <f>((((ET60*ROUND(1.25,7)))*BB60-((EU60*ROUND(1.25,7)))*BS60)+AE60*BS60)</f>
        <v>17.1</v>
      </c>
      <c r="CS60" s="2">
        <f t="shared" si="39"/>
        <v>2.25</v>
      </c>
      <c r="CT60" s="2">
        <f t="shared" si="40"/>
        <v>290.48</v>
      </c>
      <c r="CU60" s="2">
        <f t="shared" si="41"/>
        <v>0</v>
      </c>
      <c r="CV60" s="2">
        <f t="shared" si="42"/>
        <v>30.543999999999997</v>
      </c>
      <c r="CW60" s="2">
        <f t="shared" si="43"/>
        <v>0.17500000000000002</v>
      </c>
      <c r="CX60" s="2">
        <f t="shared" si="44"/>
        <v>0</v>
      </c>
      <c r="CY60" s="2">
        <f t="shared" si="45"/>
        <v>6.328799999999998</v>
      </c>
      <c r="CZ60" s="2">
        <f t="shared" si="46"/>
        <v>2.73955</v>
      </c>
      <c r="DA60" s="2"/>
      <c r="DB60" s="2"/>
      <c r="DC60" s="2" t="s">
        <v>3</v>
      </c>
      <c r="DD60" s="2" t="s">
        <v>3</v>
      </c>
      <c r="DE60" s="2" t="s">
        <v>72</v>
      </c>
      <c r="DF60" s="2" t="s">
        <v>72</v>
      </c>
      <c r="DG60" s="2" t="s">
        <v>73</v>
      </c>
      <c r="DH60" s="2" t="s">
        <v>3</v>
      </c>
      <c r="DI60" s="2" t="s">
        <v>73</v>
      </c>
      <c r="DJ60" s="2" t="s">
        <v>72</v>
      </c>
      <c r="DK60" s="2" t="s">
        <v>3</v>
      </c>
      <c r="DL60" s="2" t="s">
        <v>3</v>
      </c>
      <c r="DM60" s="2" t="s">
        <v>74</v>
      </c>
      <c r="DN60" s="2">
        <v>0</v>
      </c>
      <c r="DO60" s="2">
        <v>0</v>
      </c>
      <c r="DP60" s="2">
        <v>1</v>
      </c>
      <c r="DQ60" s="2">
        <v>1</v>
      </c>
      <c r="DR60" s="2"/>
      <c r="DS60" s="2"/>
      <c r="DT60" s="2"/>
      <c r="DU60" s="2">
        <v>1013</v>
      </c>
      <c r="DV60" s="2" t="s">
        <v>125</v>
      </c>
      <c r="DW60" s="2" t="s">
        <v>125</v>
      </c>
      <c r="DX60" s="2">
        <v>1</v>
      </c>
      <c r="DY60" s="2"/>
      <c r="DZ60" s="2" t="s">
        <v>3</v>
      </c>
      <c r="EA60" s="2" t="s">
        <v>3</v>
      </c>
      <c r="EB60" s="2" t="s">
        <v>3</v>
      </c>
      <c r="EC60" s="2" t="s">
        <v>3</v>
      </c>
      <c r="ED60" s="2"/>
      <c r="EE60" s="2">
        <v>55471661</v>
      </c>
      <c r="EF60" s="2">
        <v>2</v>
      </c>
      <c r="EG60" s="2" t="s">
        <v>31</v>
      </c>
      <c r="EH60" s="2">
        <v>10</v>
      </c>
      <c r="EI60" s="2" t="s">
        <v>110</v>
      </c>
      <c r="EJ60" s="2">
        <v>1</v>
      </c>
      <c r="EK60" s="2">
        <v>10001</v>
      </c>
      <c r="EL60" s="2" t="s">
        <v>110</v>
      </c>
      <c r="EM60" s="2" t="s">
        <v>111</v>
      </c>
      <c r="EN60" s="2"/>
      <c r="EO60" s="2" t="s">
        <v>75</v>
      </c>
      <c r="EP60" s="2"/>
      <c r="EQ60" s="2">
        <v>0</v>
      </c>
      <c r="ER60" s="2">
        <v>268.47</v>
      </c>
      <c r="ES60" s="2">
        <v>2.2</v>
      </c>
      <c r="ET60" s="2">
        <v>13.68</v>
      </c>
      <c r="EU60" s="2">
        <v>1.8</v>
      </c>
      <c r="EV60" s="2">
        <v>252.59</v>
      </c>
      <c r="EW60" s="2">
        <v>26.56</v>
      </c>
      <c r="EX60" s="2">
        <v>0.14</v>
      </c>
      <c r="EY60" s="2">
        <v>0</v>
      </c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>
        <v>0</v>
      </c>
      <c r="FR60" s="2">
        <f t="shared" si="47"/>
        <v>0</v>
      </c>
      <c r="FS60" s="2">
        <v>0</v>
      </c>
      <c r="FT60" s="2"/>
      <c r="FU60" s="2"/>
      <c r="FV60" s="2"/>
      <c r="FW60" s="2"/>
      <c r="FX60" s="2">
        <v>108</v>
      </c>
      <c r="FY60" s="2">
        <v>46.75</v>
      </c>
      <c r="FZ60" s="2"/>
      <c r="GA60" s="2" t="s">
        <v>3</v>
      </c>
      <c r="GB60" s="2"/>
      <c r="GC60" s="2"/>
      <c r="GD60" s="2">
        <v>1</v>
      </c>
      <c r="GE60" s="2"/>
      <c r="GF60" s="2">
        <v>-738721225</v>
      </c>
      <c r="GG60" s="2">
        <v>2</v>
      </c>
      <c r="GH60" s="2">
        <v>1</v>
      </c>
      <c r="GI60" s="2">
        <v>-2</v>
      </c>
      <c r="GJ60" s="2">
        <v>0</v>
      </c>
      <c r="GK60" s="2">
        <v>0</v>
      </c>
      <c r="GL60" s="2">
        <f t="shared" si="48"/>
        <v>0</v>
      </c>
      <c r="GM60" s="2">
        <f t="shared" si="49"/>
        <v>15.26</v>
      </c>
      <c r="GN60" s="2">
        <f t="shared" si="50"/>
        <v>15.26</v>
      </c>
      <c r="GO60" s="2">
        <f t="shared" si="51"/>
        <v>0</v>
      </c>
      <c r="GP60" s="2">
        <f t="shared" si="52"/>
        <v>0</v>
      </c>
      <c r="GQ60" s="2"/>
      <c r="GR60" s="2">
        <v>0</v>
      </c>
      <c r="GS60" s="2">
        <v>3</v>
      </c>
      <c r="GT60" s="2">
        <v>0</v>
      </c>
      <c r="GU60" s="2" t="s">
        <v>3</v>
      </c>
      <c r="GV60" s="2">
        <f t="shared" si="53"/>
        <v>0</v>
      </c>
      <c r="GW60" s="2">
        <v>1</v>
      </c>
      <c r="GX60" s="2">
        <f t="shared" si="54"/>
        <v>0</v>
      </c>
      <c r="GY60" s="2"/>
      <c r="GZ60" s="2"/>
      <c r="HA60" s="2">
        <v>0</v>
      </c>
      <c r="HB60" s="2">
        <v>0</v>
      </c>
      <c r="HC60" s="2">
        <f t="shared" si="55"/>
        <v>0</v>
      </c>
      <c r="HD60" s="2"/>
      <c r="HE60" s="2" t="s">
        <v>3</v>
      </c>
      <c r="HF60" s="2" t="s">
        <v>3</v>
      </c>
      <c r="HG60" s="2"/>
      <c r="HH60" s="2"/>
      <c r="HI60" s="2"/>
      <c r="HJ60" s="2"/>
      <c r="HK60" s="2"/>
      <c r="HL60" s="2"/>
      <c r="HM60" s="2" t="s">
        <v>3</v>
      </c>
      <c r="HN60" s="2" t="s">
        <v>112</v>
      </c>
      <c r="HO60" s="2" t="s">
        <v>113</v>
      </c>
      <c r="HP60" s="2" t="s">
        <v>110</v>
      </c>
      <c r="HQ60" s="2" t="s">
        <v>110</v>
      </c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>
        <v>0</v>
      </c>
      <c r="IL60" s="2"/>
      <c r="IM60" s="2"/>
      <c r="IN60" s="2"/>
      <c r="IO60" s="2"/>
      <c r="IP60" s="2"/>
      <c r="IQ60" s="2"/>
      <c r="IR60" s="2"/>
      <c r="IS60" s="2"/>
      <c r="IT60" s="2"/>
      <c r="IU60" s="2"/>
    </row>
    <row r="61" spans="1:245" ht="12.75">
      <c r="A61">
        <v>17</v>
      </c>
      <c r="B61">
        <v>1</v>
      </c>
      <c r="C61">
        <f>ROW(SmtRes!A120)</f>
        <v>120</v>
      </c>
      <c r="D61">
        <f>ROW(EtalonRes!A136)</f>
        <v>136</v>
      </c>
      <c r="E61" t="s">
        <v>122</v>
      </c>
      <c r="F61" t="s">
        <v>123</v>
      </c>
      <c r="G61" t="s">
        <v>124</v>
      </c>
      <c r="H61" t="s">
        <v>125</v>
      </c>
      <c r="I61">
        <f>ROUND(2/100,7)</f>
        <v>0.02</v>
      </c>
      <c r="J61">
        <v>0</v>
      </c>
      <c r="K61">
        <f>ROUND(2/100,7)</f>
        <v>0.02</v>
      </c>
      <c r="O61">
        <f t="shared" si="21"/>
        <v>221.76</v>
      </c>
      <c r="P61">
        <f t="shared" si="22"/>
        <v>0.3</v>
      </c>
      <c r="Q61">
        <f t="shared" si="23"/>
        <v>4.53</v>
      </c>
      <c r="R61">
        <f t="shared" si="24"/>
        <v>1.68</v>
      </c>
      <c r="S61">
        <f t="shared" si="25"/>
        <v>216.93</v>
      </c>
      <c r="T61">
        <f t="shared" si="26"/>
        <v>0</v>
      </c>
      <c r="U61">
        <f t="shared" si="27"/>
        <v>0.61088</v>
      </c>
      <c r="V61">
        <f t="shared" si="28"/>
        <v>0.0035000000000000005</v>
      </c>
      <c r="W61">
        <f t="shared" si="29"/>
        <v>0</v>
      </c>
      <c r="X61">
        <f t="shared" si="30"/>
        <v>236.1</v>
      </c>
      <c r="Y61">
        <f t="shared" si="31"/>
        <v>102.2</v>
      </c>
      <c r="AA61">
        <v>55668704</v>
      </c>
      <c r="AB61">
        <f t="shared" si="32"/>
        <v>309.78</v>
      </c>
      <c r="AC61">
        <f t="shared" si="56"/>
        <v>2.2</v>
      </c>
      <c r="AD61">
        <f>ROUND(((((ET61*ROUND(1.25,7)))-((EU61*ROUND(1.25,7))))+AE61),2)</f>
        <v>17.1</v>
      </c>
      <c r="AE61">
        <f>ROUND(((EU61*ROUND(1.25,7))),2)</f>
        <v>2.25</v>
      </c>
      <c r="AF61">
        <f>ROUND(((EV61*ROUND(1.15,7))),2)</f>
        <v>290.48</v>
      </c>
      <c r="AG61">
        <f t="shared" si="34"/>
        <v>0</v>
      </c>
      <c r="AH61">
        <f>((EW61*ROUND(1.15,7)))</f>
        <v>30.543999999999997</v>
      </c>
      <c r="AI61">
        <f>((EX61*ROUND(1.25,7)))</f>
        <v>0.17500000000000002</v>
      </c>
      <c r="AJ61">
        <f t="shared" si="36"/>
        <v>0</v>
      </c>
      <c r="AK61">
        <v>268.47</v>
      </c>
      <c r="AL61">
        <v>2.2</v>
      </c>
      <c r="AM61">
        <v>13.68</v>
      </c>
      <c r="AN61">
        <v>1.8</v>
      </c>
      <c r="AO61">
        <v>252.59</v>
      </c>
      <c r="AP61">
        <v>0</v>
      </c>
      <c r="AQ61">
        <v>26.56</v>
      </c>
      <c r="AR61">
        <v>0.14</v>
      </c>
      <c r="AS61">
        <v>0</v>
      </c>
      <c r="AT61">
        <v>108</v>
      </c>
      <c r="AU61">
        <v>46.75</v>
      </c>
      <c r="AV61">
        <v>1</v>
      </c>
      <c r="AW61">
        <v>1</v>
      </c>
      <c r="AZ61">
        <v>1</v>
      </c>
      <c r="BA61">
        <v>37.34</v>
      </c>
      <c r="BB61">
        <v>13.24</v>
      </c>
      <c r="BC61">
        <v>6.72</v>
      </c>
      <c r="BH61">
        <v>0</v>
      </c>
      <c r="BI61">
        <v>1</v>
      </c>
      <c r="BJ61" t="s">
        <v>126</v>
      </c>
      <c r="BM61">
        <v>10001</v>
      </c>
      <c r="BN61">
        <v>0</v>
      </c>
      <c r="BO61" t="s">
        <v>37</v>
      </c>
      <c r="BP61">
        <v>1</v>
      </c>
      <c r="BQ61">
        <v>2</v>
      </c>
      <c r="BR61">
        <v>0</v>
      </c>
      <c r="BS61">
        <v>37.34</v>
      </c>
      <c r="BT61">
        <v>1</v>
      </c>
      <c r="BU61">
        <v>1</v>
      </c>
      <c r="BV61">
        <v>1</v>
      </c>
      <c r="BW61">
        <v>1</v>
      </c>
      <c r="BX61">
        <v>1</v>
      </c>
      <c r="BZ61">
        <v>108</v>
      </c>
      <c r="CA61">
        <v>55</v>
      </c>
      <c r="CE61">
        <v>0</v>
      </c>
      <c r="CF61">
        <v>0</v>
      </c>
      <c r="CG61">
        <v>0</v>
      </c>
      <c r="CM61">
        <v>0</v>
      </c>
      <c r="CN61" t="s">
        <v>385</v>
      </c>
      <c r="CO61">
        <v>0</v>
      </c>
      <c r="CP61">
        <f t="shared" si="37"/>
        <v>221.76000000000002</v>
      </c>
      <c r="CQ61">
        <f t="shared" si="38"/>
        <v>14.784</v>
      </c>
      <c r="CR61">
        <f>((((ET61*ROUND(1.25,7)))*BB61-((EU61*ROUND(1.25,7)))*BS61)+AE61*BS61)</f>
        <v>226.40400000000002</v>
      </c>
      <c r="CS61">
        <f t="shared" si="39"/>
        <v>84.01500000000001</v>
      </c>
      <c r="CT61">
        <f t="shared" si="40"/>
        <v>10846.523200000001</v>
      </c>
      <c r="CU61">
        <f t="shared" si="41"/>
        <v>0</v>
      </c>
      <c r="CV61">
        <f t="shared" si="42"/>
        <v>30.543999999999997</v>
      </c>
      <c r="CW61">
        <f t="shared" si="43"/>
        <v>0.17500000000000002</v>
      </c>
      <c r="CX61">
        <f t="shared" si="44"/>
        <v>0</v>
      </c>
      <c r="CY61">
        <f t="shared" si="45"/>
        <v>236.0988</v>
      </c>
      <c r="CZ61">
        <f t="shared" si="46"/>
        <v>102.200175</v>
      </c>
      <c r="DE61" t="s">
        <v>72</v>
      </c>
      <c r="DF61" t="s">
        <v>72</v>
      </c>
      <c r="DG61" t="s">
        <v>73</v>
      </c>
      <c r="DI61" t="s">
        <v>73</v>
      </c>
      <c r="DJ61" t="s">
        <v>72</v>
      </c>
      <c r="DM61" t="s">
        <v>74</v>
      </c>
      <c r="DN61">
        <v>0</v>
      </c>
      <c r="DO61">
        <v>0</v>
      </c>
      <c r="DP61">
        <v>1</v>
      </c>
      <c r="DQ61">
        <v>1</v>
      </c>
      <c r="DU61">
        <v>1013</v>
      </c>
      <c r="DV61" t="s">
        <v>125</v>
      </c>
      <c r="DW61" t="s">
        <v>125</v>
      </c>
      <c r="DX61">
        <v>1</v>
      </c>
      <c r="EE61">
        <v>55471661</v>
      </c>
      <c r="EF61">
        <v>2</v>
      </c>
      <c r="EG61" t="s">
        <v>31</v>
      </c>
      <c r="EH61">
        <v>10</v>
      </c>
      <c r="EI61" t="s">
        <v>110</v>
      </c>
      <c r="EJ61">
        <v>1</v>
      </c>
      <c r="EK61">
        <v>10001</v>
      </c>
      <c r="EL61" t="s">
        <v>110</v>
      </c>
      <c r="EM61" t="s">
        <v>111</v>
      </c>
      <c r="EO61" t="s">
        <v>75</v>
      </c>
      <c r="EQ61">
        <v>0</v>
      </c>
      <c r="ER61">
        <v>268.47</v>
      </c>
      <c r="ES61">
        <v>2.2</v>
      </c>
      <c r="ET61">
        <v>13.68</v>
      </c>
      <c r="EU61">
        <v>1.8</v>
      </c>
      <c r="EV61">
        <v>252.59</v>
      </c>
      <c r="EW61">
        <v>26.56</v>
      </c>
      <c r="EX61">
        <v>0.14</v>
      </c>
      <c r="EY61">
        <v>0</v>
      </c>
      <c r="FQ61">
        <v>0</v>
      </c>
      <c r="FR61">
        <f t="shared" si="47"/>
        <v>0</v>
      </c>
      <c r="FS61">
        <v>0</v>
      </c>
      <c r="FX61">
        <v>108</v>
      </c>
      <c r="FY61">
        <v>46.75</v>
      </c>
      <c r="GD61">
        <v>1</v>
      </c>
      <c r="GF61">
        <v>-738721225</v>
      </c>
      <c r="GG61">
        <v>2</v>
      </c>
      <c r="GH61">
        <v>1</v>
      </c>
      <c r="GI61">
        <v>4</v>
      </c>
      <c r="GJ61">
        <v>0</v>
      </c>
      <c r="GK61">
        <v>0</v>
      </c>
      <c r="GL61">
        <f t="shared" si="48"/>
        <v>0</v>
      </c>
      <c r="GM61">
        <f t="shared" si="49"/>
        <v>560.06</v>
      </c>
      <c r="GN61">
        <f t="shared" si="50"/>
        <v>560.06</v>
      </c>
      <c r="GO61">
        <f t="shared" si="51"/>
        <v>0</v>
      </c>
      <c r="GP61">
        <f t="shared" si="52"/>
        <v>0</v>
      </c>
      <c r="GR61">
        <v>0</v>
      </c>
      <c r="GS61">
        <v>3</v>
      </c>
      <c r="GT61">
        <v>0</v>
      </c>
      <c r="GV61">
        <f t="shared" si="53"/>
        <v>0</v>
      </c>
      <c r="GW61">
        <v>1</v>
      </c>
      <c r="GX61">
        <f t="shared" si="54"/>
        <v>0</v>
      </c>
      <c r="HA61">
        <v>0</v>
      </c>
      <c r="HB61">
        <v>0</v>
      </c>
      <c r="HC61">
        <f t="shared" si="55"/>
        <v>0</v>
      </c>
      <c r="HN61" t="s">
        <v>112</v>
      </c>
      <c r="HO61" t="s">
        <v>113</v>
      </c>
      <c r="HP61" t="s">
        <v>110</v>
      </c>
      <c r="HQ61" t="s">
        <v>110</v>
      </c>
      <c r="IK61">
        <v>0</v>
      </c>
    </row>
    <row r="63" spans="1:206" ht="12.75">
      <c r="A63" s="3">
        <v>51</v>
      </c>
      <c r="B63" s="3">
        <f>B24</f>
        <v>1</v>
      </c>
      <c r="C63" s="3">
        <f>A24</f>
        <v>4</v>
      </c>
      <c r="D63" s="3">
        <f>ROW(A24)</f>
        <v>24</v>
      </c>
      <c r="E63" s="3"/>
      <c r="F63" s="3" t="str">
        <f>IF(F24&lt;&gt;"",F24,"")</f>
        <v>Новый раздел</v>
      </c>
      <c r="G63" s="3" t="str">
        <f>IF(G24&lt;&gt;"",G24,"")</f>
        <v>Ремонтные работы</v>
      </c>
      <c r="H63" s="3">
        <v>0</v>
      </c>
      <c r="I63" s="3"/>
      <c r="J63" s="3"/>
      <c r="K63" s="3"/>
      <c r="L63" s="3"/>
      <c r="M63" s="3"/>
      <c r="N63" s="3"/>
      <c r="O63" s="3">
        <f aca="true" t="shared" si="63" ref="O63:T63">ROUND(AB63,2)</f>
        <v>1333697.86</v>
      </c>
      <c r="P63" s="3">
        <f t="shared" si="63"/>
        <v>1331282.11</v>
      </c>
      <c r="Q63" s="3">
        <f t="shared" si="63"/>
        <v>477.62</v>
      </c>
      <c r="R63" s="3">
        <f t="shared" si="63"/>
        <v>62.76</v>
      </c>
      <c r="S63" s="3">
        <f t="shared" si="63"/>
        <v>1938.13</v>
      </c>
      <c r="T63" s="3">
        <f t="shared" si="63"/>
        <v>0</v>
      </c>
      <c r="U63" s="3">
        <f>AH63</f>
        <v>196.45770199999998</v>
      </c>
      <c r="V63" s="3">
        <f>AI63</f>
        <v>5.1020650000000005</v>
      </c>
      <c r="W63" s="3">
        <f>ROUND(AJ63,2)</f>
        <v>0</v>
      </c>
      <c r="X63" s="3">
        <f>ROUND(AK63,2)</f>
        <v>1882.86</v>
      </c>
      <c r="Y63" s="3">
        <f>ROUND(AL63,2)</f>
        <v>1117.21</v>
      </c>
      <c r="Z63" s="3"/>
      <c r="AA63" s="3"/>
      <c r="AB63" s="3">
        <f>ROUND(SUMIF(AA28:AA61,"=55668703",O28:O61),2)</f>
        <v>1333697.86</v>
      </c>
      <c r="AC63" s="3">
        <f>ROUND(SUMIF(AA28:AA61,"=55668703",P28:P61),2)</f>
        <v>1331282.11</v>
      </c>
      <c r="AD63" s="3">
        <f>ROUND(SUMIF(AA28:AA61,"=55668703",Q28:Q61),2)</f>
        <v>477.62</v>
      </c>
      <c r="AE63" s="3">
        <f>ROUND(SUMIF(AA28:AA61,"=55668703",R28:R61),2)</f>
        <v>62.76</v>
      </c>
      <c r="AF63" s="3">
        <f>ROUND(SUMIF(AA28:AA61,"=55668703",S28:S61),2)</f>
        <v>1938.13</v>
      </c>
      <c r="AG63" s="3">
        <f>ROUND(SUMIF(AA28:AA61,"=55668703",T28:T61),2)</f>
        <v>0</v>
      </c>
      <c r="AH63" s="3">
        <f>SUMIF(AA28:AA61,"=55668703",U28:U61)</f>
        <v>196.45770199999998</v>
      </c>
      <c r="AI63" s="3">
        <f>SUMIF(AA28:AA61,"=55668703",V28:V61)</f>
        <v>5.1020650000000005</v>
      </c>
      <c r="AJ63" s="3">
        <f>ROUND(SUMIF(AA28:AA61,"=55668703",W28:W61),2)</f>
        <v>0</v>
      </c>
      <c r="AK63" s="3">
        <f>ROUND(SUMIF(AA28:AA61,"=55668703",X28:X61),2)</f>
        <v>1882.86</v>
      </c>
      <c r="AL63" s="3">
        <f>ROUND(SUMIF(AA28:AA61,"=55668703",Y28:Y61),2)</f>
        <v>1117.21</v>
      </c>
      <c r="AM63" s="3"/>
      <c r="AN63" s="3"/>
      <c r="AO63" s="3">
        <f aca="true" t="shared" si="64" ref="AO63:BD63">ROUND(BX63,2)</f>
        <v>0</v>
      </c>
      <c r="AP63" s="3">
        <f t="shared" si="64"/>
        <v>0</v>
      </c>
      <c r="AQ63" s="3">
        <f t="shared" si="64"/>
        <v>0</v>
      </c>
      <c r="AR63" s="3">
        <f t="shared" si="64"/>
        <v>1336697.93</v>
      </c>
      <c r="AS63" s="3">
        <f t="shared" si="64"/>
        <v>1079737.93</v>
      </c>
      <c r="AT63" s="3">
        <f t="shared" si="64"/>
        <v>256960</v>
      </c>
      <c r="AU63" s="3">
        <f t="shared" si="64"/>
        <v>0</v>
      </c>
      <c r="AV63" s="3">
        <f t="shared" si="64"/>
        <v>1331282.11</v>
      </c>
      <c r="AW63" s="3">
        <f t="shared" si="64"/>
        <v>1331282.11</v>
      </c>
      <c r="AX63" s="3">
        <f t="shared" si="64"/>
        <v>0</v>
      </c>
      <c r="AY63" s="3">
        <f t="shared" si="64"/>
        <v>1331282.11</v>
      </c>
      <c r="AZ63" s="3">
        <f t="shared" si="64"/>
        <v>0</v>
      </c>
      <c r="BA63" s="3">
        <f t="shared" si="64"/>
        <v>0</v>
      </c>
      <c r="BB63" s="3">
        <f t="shared" si="64"/>
        <v>0</v>
      </c>
      <c r="BC63" s="3">
        <f t="shared" si="64"/>
        <v>0</v>
      </c>
      <c r="BD63" s="3">
        <f t="shared" si="64"/>
        <v>0</v>
      </c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>
        <f>ROUND(SUMIF(AA28:AA61,"=55668703",FQ28:FQ61),2)</f>
        <v>0</v>
      </c>
      <c r="BY63" s="3">
        <f>ROUND(SUMIF(AA28:AA61,"=55668703",FR28:FR61),2)</f>
        <v>0</v>
      </c>
      <c r="BZ63" s="3">
        <f>ROUND(SUMIF(AA28:AA61,"=55668703",GL28:GL61),2)</f>
        <v>0</v>
      </c>
      <c r="CA63" s="3">
        <f>ROUND(SUMIF(AA28:AA61,"=55668703",GM28:GM61),2)</f>
        <v>1336697.93</v>
      </c>
      <c r="CB63" s="3">
        <f>ROUND(SUMIF(AA28:AA61,"=55668703",GN28:GN61),2)</f>
        <v>1079737.93</v>
      </c>
      <c r="CC63" s="3">
        <f>ROUND(SUMIF(AA28:AA61,"=55668703",GO28:GO61),2)</f>
        <v>256960</v>
      </c>
      <c r="CD63" s="3">
        <f>ROUND(SUMIF(AA28:AA61,"=55668703",GP28:GP61),2)</f>
        <v>0</v>
      </c>
      <c r="CE63" s="3">
        <f>AC63-BX63</f>
        <v>1331282.11</v>
      </c>
      <c r="CF63" s="3">
        <f>AC63-BY63</f>
        <v>1331282.11</v>
      </c>
      <c r="CG63" s="3">
        <f>BX63-BZ63</f>
        <v>0</v>
      </c>
      <c r="CH63" s="3">
        <f>AC63-BX63-BY63+BZ63</f>
        <v>1331282.11</v>
      </c>
      <c r="CI63" s="3">
        <f>BY63-BZ63</f>
        <v>0</v>
      </c>
      <c r="CJ63" s="3">
        <f>ROUND(SUMIF(AA28:AA61,"=55668703",GX28:GX61),2)</f>
        <v>0</v>
      </c>
      <c r="CK63" s="3">
        <f>ROUND(SUMIF(AA28:AA61,"=55668703",GY28:GY61),2)</f>
        <v>0</v>
      </c>
      <c r="CL63" s="3">
        <f>ROUND(SUMIF(AA28:AA61,"=55668703",GZ28:GZ61),2)</f>
        <v>0</v>
      </c>
      <c r="CM63" s="3">
        <f>ROUND(SUMIF(AA28:AA61,"=55668703",HD28:HD61),2)</f>
        <v>0</v>
      </c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4">
        <f aca="true" t="shared" si="65" ref="DG63:DL63">ROUND(DT63,2)</f>
        <v>1419630.39</v>
      </c>
      <c r="DH63" s="4">
        <f t="shared" si="65"/>
        <v>1340937.04</v>
      </c>
      <c r="DI63" s="4">
        <f t="shared" si="65"/>
        <v>6323.68</v>
      </c>
      <c r="DJ63" s="4">
        <f t="shared" si="65"/>
        <v>2343.26</v>
      </c>
      <c r="DK63" s="4">
        <f t="shared" si="65"/>
        <v>72369.67</v>
      </c>
      <c r="DL63" s="4">
        <f t="shared" si="65"/>
        <v>0</v>
      </c>
      <c r="DM63" s="4">
        <f>DZ63</f>
        <v>196.45770199999998</v>
      </c>
      <c r="DN63" s="4">
        <f>EA63</f>
        <v>5.1020650000000005</v>
      </c>
      <c r="DO63" s="4">
        <f>ROUND(EB63,2)</f>
        <v>0</v>
      </c>
      <c r="DP63" s="4">
        <f>ROUND(EC63,2)</f>
        <v>70305.36</v>
      </c>
      <c r="DQ63" s="4">
        <f>ROUND(ED63,2)</f>
        <v>41716.55</v>
      </c>
      <c r="DR63" s="4"/>
      <c r="DS63" s="4"/>
      <c r="DT63" s="4">
        <f>ROUND(SUMIF(AA28:AA61,"=55668704",O28:O61),2)</f>
        <v>1419630.39</v>
      </c>
      <c r="DU63" s="4">
        <f>ROUND(SUMIF(AA28:AA61,"=55668704",P28:P61),2)</f>
        <v>1340937.04</v>
      </c>
      <c r="DV63" s="4">
        <f>ROUND(SUMIF(AA28:AA61,"=55668704",Q28:Q61),2)</f>
        <v>6323.68</v>
      </c>
      <c r="DW63" s="4">
        <f>ROUND(SUMIF(AA28:AA61,"=55668704",R28:R61),2)</f>
        <v>2343.26</v>
      </c>
      <c r="DX63" s="4">
        <f>ROUND(SUMIF(AA28:AA61,"=55668704",S28:S61),2)</f>
        <v>72369.67</v>
      </c>
      <c r="DY63" s="4">
        <f>ROUND(SUMIF(AA28:AA61,"=55668704",T28:T61),2)</f>
        <v>0</v>
      </c>
      <c r="DZ63" s="4">
        <f>SUMIF(AA28:AA61,"=55668704",U28:U61)</f>
        <v>196.45770199999998</v>
      </c>
      <c r="EA63" s="4">
        <f>SUMIF(AA28:AA61,"=55668704",V28:V61)</f>
        <v>5.1020650000000005</v>
      </c>
      <c r="EB63" s="4">
        <f>ROUND(SUMIF(AA28:AA61,"=55668704",W28:W61),2)</f>
        <v>0</v>
      </c>
      <c r="EC63" s="4">
        <f>ROUND(SUMIF(AA28:AA61,"=55668704",X28:X61),2)</f>
        <v>70305.36</v>
      </c>
      <c r="ED63" s="4">
        <f>ROUND(SUMIF(AA28:AA61,"=55668704",Y28:Y61),2)</f>
        <v>41716.55</v>
      </c>
      <c r="EE63" s="4"/>
      <c r="EF63" s="4"/>
      <c r="EG63" s="4">
        <f aca="true" t="shared" si="66" ref="EG63:EV63">ROUND(FP63,2)</f>
        <v>0</v>
      </c>
      <c r="EH63" s="4">
        <f t="shared" si="66"/>
        <v>0</v>
      </c>
      <c r="EI63" s="4">
        <f t="shared" si="66"/>
        <v>0</v>
      </c>
      <c r="EJ63" s="4">
        <f t="shared" si="66"/>
        <v>1531652.3</v>
      </c>
      <c r="EK63" s="4">
        <f t="shared" si="66"/>
        <v>1274692.3</v>
      </c>
      <c r="EL63" s="4">
        <f t="shared" si="66"/>
        <v>256960</v>
      </c>
      <c r="EM63" s="4">
        <f t="shared" si="66"/>
        <v>0</v>
      </c>
      <c r="EN63" s="4">
        <f t="shared" si="66"/>
        <v>1340937.04</v>
      </c>
      <c r="EO63" s="4">
        <f t="shared" si="66"/>
        <v>1340937.04</v>
      </c>
      <c r="EP63" s="4">
        <f t="shared" si="66"/>
        <v>0</v>
      </c>
      <c r="EQ63" s="4">
        <f t="shared" si="66"/>
        <v>1340937.04</v>
      </c>
      <c r="ER63" s="4">
        <f t="shared" si="66"/>
        <v>0</v>
      </c>
      <c r="ES63" s="4">
        <f t="shared" si="66"/>
        <v>0</v>
      </c>
      <c r="ET63" s="4">
        <f t="shared" si="66"/>
        <v>0</v>
      </c>
      <c r="EU63" s="4">
        <f t="shared" si="66"/>
        <v>0</v>
      </c>
      <c r="EV63" s="4">
        <f t="shared" si="66"/>
        <v>0</v>
      </c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>
        <f>ROUND(SUMIF(AA28:AA61,"=55668704",FQ28:FQ61),2)</f>
        <v>0</v>
      </c>
      <c r="FQ63" s="4">
        <f>ROUND(SUMIF(AA28:AA61,"=55668704",FR28:FR61),2)</f>
        <v>0</v>
      </c>
      <c r="FR63" s="4">
        <f>ROUND(SUMIF(AA28:AA61,"=55668704",GL28:GL61),2)</f>
        <v>0</v>
      </c>
      <c r="FS63" s="4">
        <f>ROUND(SUMIF(AA28:AA61,"=55668704",GM28:GM61),2)</f>
        <v>1531652.3</v>
      </c>
      <c r="FT63" s="4">
        <f>ROUND(SUMIF(AA28:AA61,"=55668704",GN28:GN61),2)</f>
        <v>1274692.3</v>
      </c>
      <c r="FU63" s="4">
        <f>ROUND(SUMIF(AA28:AA61,"=55668704",GO28:GO61),2)</f>
        <v>256960</v>
      </c>
      <c r="FV63" s="4">
        <f>ROUND(SUMIF(AA28:AA61,"=55668704",GP28:GP61),2)</f>
        <v>0</v>
      </c>
      <c r="FW63" s="4">
        <f>DU63-FP63</f>
        <v>1340937.04</v>
      </c>
      <c r="FX63" s="4">
        <f>DU63-FQ63</f>
        <v>1340937.04</v>
      </c>
      <c r="FY63" s="4">
        <f>FP63-FR63</f>
        <v>0</v>
      </c>
      <c r="FZ63" s="4">
        <f>DU63-FP63-FQ63+FR63</f>
        <v>1340937.04</v>
      </c>
      <c r="GA63" s="4">
        <f>FQ63-FR63</f>
        <v>0</v>
      </c>
      <c r="GB63" s="4">
        <f>ROUND(SUMIF(AA28:AA61,"=55668704",GX28:GX61),2)</f>
        <v>0</v>
      </c>
      <c r="GC63" s="4">
        <f>ROUND(SUMIF(AA28:AA61,"=55668704",GY28:GY61),2)</f>
        <v>0</v>
      </c>
      <c r="GD63" s="4">
        <f>ROUND(SUMIF(AA28:AA61,"=55668704",GZ28:GZ61),2)</f>
        <v>0</v>
      </c>
      <c r="GE63" s="4">
        <f>ROUND(SUMIF(AA28:AA61,"=55668704",HD28:HD61),2)</f>
        <v>0</v>
      </c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>
        <v>0</v>
      </c>
    </row>
    <row r="65" spans="1:28" ht="12.75">
      <c r="A65" s="5">
        <v>50</v>
      </c>
      <c r="B65" s="5">
        <v>0</v>
      </c>
      <c r="C65" s="5">
        <v>0</v>
      </c>
      <c r="D65" s="5">
        <v>1</v>
      </c>
      <c r="E65" s="5">
        <v>201</v>
      </c>
      <c r="F65" s="5">
        <f>ROUND(Source!O63,O65)</f>
        <v>1333697.86</v>
      </c>
      <c r="G65" s="5" t="s">
        <v>127</v>
      </c>
      <c r="H65" s="5" t="s">
        <v>128</v>
      </c>
      <c r="I65" s="5"/>
      <c r="J65" s="5"/>
      <c r="K65" s="5">
        <v>201</v>
      </c>
      <c r="L65" s="5">
        <v>1</v>
      </c>
      <c r="M65" s="5">
        <v>3</v>
      </c>
      <c r="N65" s="5" t="s">
        <v>3</v>
      </c>
      <c r="O65" s="5">
        <v>2</v>
      </c>
      <c r="P65" s="5">
        <f>ROUND(Source!DG63,O65)</f>
        <v>1419630.39</v>
      </c>
      <c r="Q65" s="5"/>
      <c r="R65" s="5"/>
      <c r="S65" s="5"/>
      <c r="T65" s="5"/>
      <c r="U65" s="5"/>
      <c r="V65" s="5"/>
      <c r="W65" s="5">
        <v>1333697.86</v>
      </c>
      <c r="X65" s="5">
        <v>1</v>
      </c>
      <c r="Y65" s="5">
        <v>1333697.86</v>
      </c>
      <c r="Z65" s="5">
        <v>1419630.3900000001</v>
      </c>
      <c r="AA65" s="5">
        <v>1</v>
      </c>
      <c r="AB65" s="5">
        <v>1419630.3900000001</v>
      </c>
    </row>
    <row r="66" spans="1:28" ht="12.75">
      <c r="A66" s="5">
        <v>50</v>
      </c>
      <c r="B66" s="5">
        <v>0</v>
      </c>
      <c r="C66" s="5">
        <v>0</v>
      </c>
      <c r="D66" s="5">
        <v>1</v>
      </c>
      <c r="E66" s="5">
        <v>202</v>
      </c>
      <c r="F66" s="5">
        <f>ROUND(Source!P63,O66)</f>
        <v>1331282.11</v>
      </c>
      <c r="G66" s="5" t="s">
        <v>129</v>
      </c>
      <c r="H66" s="5" t="s">
        <v>130</v>
      </c>
      <c r="I66" s="5"/>
      <c r="J66" s="5"/>
      <c r="K66" s="5">
        <v>202</v>
      </c>
      <c r="L66" s="5">
        <v>2</v>
      </c>
      <c r="M66" s="5">
        <v>3</v>
      </c>
      <c r="N66" s="5" t="s">
        <v>3</v>
      </c>
      <c r="O66" s="5">
        <v>2</v>
      </c>
      <c r="P66" s="5">
        <f>ROUND(Source!DH63,O66)</f>
        <v>1340937.04</v>
      </c>
      <c r="Q66" s="5"/>
      <c r="R66" s="5"/>
      <c r="S66" s="5"/>
      <c r="T66" s="5"/>
      <c r="U66" s="5"/>
      <c r="V66" s="5"/>
      <c r="W66" s="5">
        <v>1331282.11</v>
      </c>
      <c r="X66" s="5">
        <v>1</v>
      </c>
      <c r="Y66" s="5">
        <v>1331282.11</v>
      </c>
      <c r="Z66" s="5">
        <v>1340937.04</v>
      </c>
      <c r="AA66" s="5">
        <v>1</v>
      </c>
      <c r="AB66" s="5">
        <v>1340937.04</v>
      </c>
    </row>
    <row r="67" spans="1:28" ht="12.75">
      <c r="A67" s="5">
        <v>50</v>
      </c>
      <c r="B67" s="5">
        <v>0</v>
      </c>
      <c r="C67" s="5">
        <v>0</v>
      </c>
      <c r="D67" s="5">
        <v>1</v>
      </c>
      <c r="E67" s="5">
        <v>222</v>
      </c>
      <c r="F67" s="5">
        <f>ROUND(Source!AO63,O67)</f>
        <v>0</v>
      </c>
      <c r="G67" s="5" t="s">
        <v>131</v>
      </c>
      <c r="H67" s="5" t="s">
        <v>132</v>
      </c>
      <c r="I67" s="5"/>
      <c r="J67" s="5"/>
      <c r="K67" s="5">
        <v>222</v>
      </c>
      <c r="L67" s="5">
        <v>3</v>
      </c>
      <c r="M67" s="5">
        <v>3</v>
      </c>
      <c r="N67" s="5" t="s">
        <v>3</v>
      </c>
      <c r="O67" s="5">
        <v>2</v>
      </c>
      <c r="P67" s="5">
        <f>ROUND(Source!EG63,O67)</f>
        <v>0</v>
      </c>
      <c r="Q67" s="5"/>
      <c r="R67" s="5"/>
      <c r="S67" s="5"/>
      <c r="T67" s="5"/>
      <c r="U67" s="5"/>
      <c r="V67" s="5"/>
      <c r="W67" s="5">
        <v>0</v>
      </c>
      <c r="X67" s="5">
        <v>1</v>
      </c>
      <c r="Y67" s="5">
        <v>0</v>
      </c>
      <c r="Z67" s="5">
        <v>0</v>
      </c>
      <c r="AA67" s="5">
        <v>1</v>
      </c>
      <c r="AB67" s="5">
        <v>0</v>
      </c>
    </row>
    <row r="68" spans="1:28" ht="12.75">
      <c r="A68" s="5">
        <v>50</v>
      </c>
      <c r="B68" s="5">
        <v>0</v>
      </c>
      <c r="C68" s="5">
        <v>0</v>
      </c>
      <c r="D68" s="5">
        <v>1</v>
      </c>
      <c r="E68" s="5">
        <v>225</v>
      </c>
      <c r="F68" s="5">
        <f>ROUND(Source!AV63,O68)</f>
        <v>1331282.11</v>
      </c>
      <c r="G68" s="5" t="s">
        <v>133</v>
      </c>
      <c r="H68" s="5" t="s">
        <v>134</v>
      </c>
      <c r="I68" s="5"/>
      <c r="J68" s="5"/>
      <c r="K68" s="5">
        <v>225</v>
      </c>
      <c r="L68" s="5">
        <v>4</v>
      </c>
      <c r="M68" s="5">
        <v>3</v>
      </c>
      <c r="N68" s="5" t="s">
        <v>3</v>
      </c>
      <c r="O68" s="5">
        <v>2</v>
      </c>
      <c r="P68" s="5">
        <f>ROUND(Source!EN63,O68)</f>
        <v>1340937.04</v>
      </c>
      <c r="Q68" s="5"/>
      <c r="R68" s="5"/>
      <c r="S68" s="5"/>
      <c r="T68" s="5"/>
      <c r="U68" s="5"/>
      <c r="V68" s="5"/>
      <c r="W68" s="5">
        <v>1331282.11</v>
      </c>
      <c r="X68" s="5">
        <v>1</v>
      </c>
      <c r="Y68" s="5">
        <v>1331282.11</v>
      </c>
      <c r="Z68" s="5">
        <v>1340937.04</v>
      </c>
      <c r="AA68" s="5">
        <v>1</v>
      </c>
      <c r="AB68" s="5">
        <v>1340937.04</v>
      </c>
    </row>
    <row r="69" spans="1:28" ht="12.75">
      <c r="A69" s="5">
        <v>50</v>
      </c>
      <c r="B69" s="5">
        <v>0</v>
      </c>
      <c r="C69" s="5">
        <v>0</v>
      </c>
      <c r="D69" s="5">
        <v>1</v>
      </c>
      <c r="E69" s="5">
        <v>226</v>
      </c>
      <c r="F69" s="5">
        <f>ROUND(Source!AW63,O69)</f>
        <v>1331282.11</v>
      </c>
      <c r="G69" s="5" t="s">
        <v>135</v>
      </c>
      <c r="H69" s="5" t="s">
        <v>136</v>
      </c>
      <c r="I69" s="5"/>
      <c r="J69" s="5"/>
      <c r="K69" s="5">
        <v>226</v>
      </c>
      <c r="L69" s="5">
        <v>5</v>
      </c>
      <c r="M69" s="5">
        <v>3</v>
      </c>
      <c r="N69" s="5" t="s">
        <v>3</v>
      </c>
      <c r="O69" s="5">
        <v>2</v>
      </c>
      <c r="P69" s="5">
        <f>ROUND(Source!EO63,O69)</f>
        <v>1340937.04</v>
      </c>
      <c r="Q69" s="5"/>
      <c r="R69" s="5"/>
      <c r="S69" s="5"/>
      <c r="T69" s="5"/>
      <c r="U69" s="5"/>
      <c r="V69" s="5"/>
      <c r="W69" s="5">
        <v>1331282.11</v>
      </c>
      <c r="X69" s="5">
        <v>1</v>
      </c>
      <c r="Y69" s="5">
        <v>1331282.11</v>
      </c>
      <c r="Z69" s="5">
        <v>1340937.04</v>
      </c>
      <c r="AA69" s="5">
        <v>1</v>
      </c>
      <c r="AB69" s="5">
        <v>1340937.04</v>
      </c>
    </row>
    <row r="70" spans="1:28" ht="12.75">
      <c r="A70" s="5">
        <v>50</v>
      </c>
      <c r="B70" s="5">
        <v>0</v>
      </c>
      <c r="C70" s="5">
        <v>0</v>
      </c>
      <c r="D70" s="5">
        <v>1</v>
      </c>
      <c r="E70" s="5">
        <v>227</v>
      </c>
      <c r="F70" s="5">
        <f>ROUND(Source!AX63,O70)</f>
        <v>0</v>
      </c>
      <c r="G70" s="5" t="s">
        <v>137</v>
      </c>
      <c r="H70" s="5" t="s">
        <v>138</v>
      </c>
      <c r="I70" s="5"/>
      <c r="J70" s="5"/>
      <c r="K70" s="5">
        <v>227</v>
      </c>
      <c r="L70" s="5">
        <v>6</v>
      </c>
      <c r="M70" s="5">
        <v>3</v>
      </c>
      <c r="N70" s="5" t="s">
        <v>3</v>
      </c>
      <c r="O70" s="5">
        <v>2</v>
      </c>
      <c r="P70" s="5">
        <f>ROUND(Source!EP63,O70)</f>
        <v>0</v>
      </c>
      <c r="Q70" s="5"/>
      <c r="R70" s="5"/>
      <c r="S70" s="5"/>
      <c r="T70" s="5"/>
      <c r="U70" s="5"/>
      <c r="V70" s="5"/>
      <c r="W70" s="5">
        <v>0</v>
      </c>
      <c r="X70" s="5">
        <v>1</v>
      </c>
      <c r="Y70" s="5">
        <v>0</v>
      </c>
      <c r="Z70" s="5">
        <v>0</v>
      </c>
      <c r="AA70" s="5">
        <v>1</v>
      </c>
      <c r="AB70" s="5">
        <v>0</v>
      </c>
    </row>
    <row r="71" spans="1:28" ht="12.75">
      <c r="A71" s="5">
        <v>50</v>
      </c>
      <c r="B71" s="5">
        <v>0</v>
      </c>
      <c r="C71" s="5">
        <v>0</v>
      </c>
      <c r="D71" s="5">
        <v>1</v>
      </c>
      <c r="E71" s="5">
        <v>228</v>
      </c>
      <c r="F71" s="5">
        <f>ROUND(Source!AY63,O71)</f>
        <v>1331282.11</v>
      </c>
      <c r="G71" s="5" t="s">
        <v>139</v>
      </c>
      <c r="H71" s="5" t="s">
        <v>140</v>
      </c>
      <c r="I71" s="5"/>
      <c r="J71" s="5"/>
      <c r="K71" s="5">
        <v>228</v>
      </c>
      <c r="L71" s="5">
        <v>7</v>
      </c>
      <c r="M71" s="5">
        <v>3</v>
      </c>
      <c r="N71" s="5" t="s">
        <v>3</v>
      </c>
      <c r="O71" s="5">
        <v>2</v>
      </c>
      <c r="P71" s="5">
        <f>ROUND(Source!EQ63,O71)</f>
        <v>1340937.04</v>
      </c>
      <c r="Q71" s="5"/>
      <c r="R71" s="5"/>
      <c r="S71" s="5"/>
      <c r="T71" s="5"/>
      <c r="U71" s="5"/>
      <c r="V71" s="5"/>
      <c r="W71" s="5">
        <v>1331282.11</v>
      </c>
      <c r="X71" s="5">
        <v>1</v>
      </c>
      <c r="Y71" s="5">
        <v>1331282.11</v>
      </c>
      <c r="Z71" s="5">
        <v>1340937.04</v>
      </c>
      <c r="AA71" s="5">
        <v>1</v>
      </c>
      <c r="AB71" s="5">
        <v>1340937.04</v>
      </c>
    </row>
    <row r="72" spans="1:28" ht="12.75">
      <c r="A72" s="5">
        <v>50</v>
      </c>
      <c r="B72" s="5">
        <v>0</v>
      </c>
      <c r="C72" s="5">
        <v>0</v>
      </c>
      <c r="D72" s="5">
        <v>1</v>
      </c>
      <c r="E72" s="5">
        <v>216</v>
      </c>
      <c r="F72" s="5">
        <f>ROUND(Source!AP63,O72)</f>
        <v>0</v>
      </c>
      <c r="G72" s="5" t="s">
        <v>141</v>
      </c>
      <c r="H72" s="5" t="s">
        <v>142</v>
      </c>
      <c r="I72" s="5"/>
      <c r="J72" s="5"/>
      <c r="K72" s="5">
        <v>216</v>
      </c>
      <c r="L72" s="5">
        <v>8</v>
      </c>
      <c r="M72" s="5">
        <v>3</v>
      </c>
      <c r="N72" s="5" t="s">
        <v>3</v>
      </c>
      <c r="O72" s="5">
        <v>2</v>
      </c>
      <c r="P72" s="5">
        <f>ROUND(Source!EH63,O72)</f>
        <v>0</v>
      </c>
      <c r="Q72" s="5"/>
      <c r="R72" s="5"/>
      <c r="S72" s="5"/>
      <c r="T72" s="5"/>
      <c r="U72" s="5"/>
      <c r="V72" s="5"/>
      <c r="W72" s="5">
        <v>0</v>
      </c>
      <c r="X72" s="5">
        <v>1</v>
      </c>
      <c r="Y72" s="5">
        <v>0</v>
      </c>
      <c r="Z72" s="5">
        <v>0</v>
      </c>
      <c r="AA72" s="5">
        <v>1</v>
      </c>
      <c r="AB72" s="5">
        <v>0</v>
      </c>
    </row>
    <row r="73" spans="1:28" ht="12.75">
      <c r="A73" s="5">
        <v>50</v>
      </c>
      <c r="B73" s="5">
        <v>0</v>
      </c>
      <c r="C73" s="5">
        <v>0</v>
      </c>
      <c r="D73" s="5">
        <v>1</v>
      </c>
      <c r="E73" s="5">
        <v>223</v>
      </c>
      <c r="F73" s="5">
        <f>ROUND(Source!AQ63,O73)</f>
        <v>0</v>
      </c>
      <c r="G73" s="5" t="s">
        <v>143</v>
      </c>
      <c r="H73" s="5" t="s">
        <v>144</v>
      </c>
      <c r="I73" s="5"/>
      <c r="J73" s="5"/>
      <c r="K73" s="5">
        <v>223</v>
      </c>
      <c r="L73" s="5">
        <v>9</v>
      </c>
      <c r="M73" s="5">
        <v>3</v>
      </c>
      <c r="N73" s="5" t="s">
        <v>3</v>
      </c>
      <c r="O73" s="5">
        <v>2</v>
      </c>
      <c r="P73" s="5">
        <f>ROUND(Source!EI63,O73)</f>
        <v>0</v>
      </c>
      <c r="Q73" s="5"/>
      <c r="R73" s="5"/>
      <c r="S73" s="5"/>
      <c r="T73" s="5"/>
      <c r="U73" s="5"/>
      <c r="V73" s="5"/>
      <c r="W73" s="5">
        <v>0</v>
      </c>
      <c r="X73" s="5">
        <v>1</v>
      </c>
      <c r="Y73" s="5">
        <v>0</v>
      </c>
      <c r="Z73" s="5">
        <v>0</v>
      </c>
      <c r="AA73" s="5">
        <v>1</v>
      </c>
      <c r="AB73" s="5">
        <v>0</v>
      </c>
    </row>
    <row r="74" spans="1:28" ht="12.75">
      <c r="A74" s="5">
        <v>50</v>
      </c>
      <c r="B74" s="5">
        <v>0</v>
      </c>
      <c r="C74" s="5">
        <v>0</v>
      </c>
      <c r="D74" s="5">
        <v>1</v>
      </c>
      <c r="E74" s="5">
        <v>229</v>
      </c>
      <c r="F74" s="5">
        <f>ROUND(Source!AZ63,O74)</f>
        <v>0</v>
      </c>
      <c r="G74" s="5" t="s">
        <v>145</v>
      </c>
      <c r="H74" s="5" t="s">
        <v>146</v>
      </c>
      <c r="I74" s="5"/>
      <c r="J74" s="5"/>
      <c r="K74" s="5">
        <v>229</v>
      </c>
      <c r="L74" s="5">
        <v>10</v>
      </c>
      <c r="M74" s="5">
        <v>3</v>
      </c>
      <c r="N74" s="5" t="s">
        <v>3</v>
      </c>
      <c r="O74" s="5">
        <v>2</v>
      </c>
      <c r="P74" s="5">
        <f>ROUND(Source!ER63,O74)</f>
        <v>0</v>
      </c>
      <c r="Q74" s="5"/>
      <c r="R74" s="5"/>
      <c r="S74" s="5"/>
      <c r="T74" s="5"/>
      <c r="U74" s="5"/>
      <c r="V74" s="5"/>
      <c r="W74" s="5">
        <v>0</v>
      </c>
      <c r="X74" s="5">
        <v>1</v>
      </c>
      <c r="Y74" s="5">
        <v>0</v>
      </c>
      <c r="Z74" s="5">
        <v>0</v>
      </c>
      <c r="AA74" s="5">
        <v>1</v>
      </c>
      <c r="AB74" s="5">
        <v>0</v>
      </c>
    </row>
    <row r="75" spans="1:28" ht="12.75">
      <c r="A75" s="5">
        <v>50</v>
      </c>
      <c r="B75" s="5">
        <v>0</v>
      </c>
      <c r="C75" s="5">
        <v>0</v>
      </c>
      <c r="D75" s="5">
        <v>1</v>
      </c>
      <c r="E75" s="5">
        <v>203</v>
      </c>
      <c r="F75" s="5">
        <f>ROUND(Source!Q63,O75)</f>
        <v>477.62</v>
      </c>
      <c r="G75" s="5" t="s">
        <v>147</v>
      </c>
      <c r="H75" s="5" t="s">
        <v>148</v>
      </c>
      <c r="I75" s="5"/>
      <c r="J75" s="5"/>
      <c r="K75" s="5">
        <v>203</v>
      </c>
      <c r="L75" s="5">
        <v>11</v>
      </c>
      <c r="M75" s="5">
        <v>3</v>
      </c>
      <c r="N75" s="5" t="s">
        <v>3</v>
      </c>
      <c r="O75" s="5">
        <v>2</v>
      </c>
      <c r="P75" s="5">
        <f>ROUND(Source!DI63,O75)</f>
        <v>6323.68</v>
      </c>
      <c r="Q75" s="5"/>
      <c r="R75" s="5"/>
      <c r="S75" s="5"/>
      <c r="T75" s="5"/>
      <c r="U75" s="5"/>
      <c r="V75" s="5"/>
      <c r="W75" s="5">
        <v>477.61999999999995</v>
      </c>
      <c r="X75" s="5">
        <v>1</v>
      </c>
      <c r="Y75" s="5">
        <v>477.61999999999995</v>
      </c>
      <c r="Z75" s="5">
        <v>6323.679999999999</v>
      </c>
      <c r="AA75" s="5">
        <v>1</v>
      </c>
      <c r="AB75" s="5">
        <v>6323.679999999999</v>
      </c>
    </row>
    <row r="76" spans="1:28" ht="12.75">
      <c r="A76" s="5">
        <v>50</v>
      </c>
      <c r="B76" s="5">
        <v>0</v>
      </c>
      <c r="C76" s="5">
        <v>0</v>
      </c>
      <c r="D76" s="5">
        <v>1</v>
      </c>
      <c r="E76" s="5">
        <v>231</v>
      </c>
      <c r="F76" s="5">
        <f>ROUND(Source!BB63,O76)</f>
        <v>0</v>
      </c>
      <c r="G76" s="5" t="s">
        <v>149</v>
      </c>
      <c r="H76" s="5" t="s">
        <v>150</v>
      </c>
      <c r="I76" s="5"/>
      <c r="J76" s="5"/>
      <c r="K76" s="5">
        <v>231</v>
      </c>
      <c r="L76" s="5">
        <v>12</v>
      </c>
      <c r="M76" s="5">
        <v>3</v>
      </c>
      <c r="N76" s="5" t="s">
        <v>3</v>
      </c>
      <c r="O76" s="5">
        <v>2</v>
      </c>
      <c r="P76" s="5">
        <f>ROUND(Source!ET63,O76)</f>
        <v>0</v>
      </c>
      <c r="Q76" s="5"/>
      <c r="R76" s="5"/>
      <c r="S76" s="5"/>
      <c r="T76" s="5"/>
      <c r="U76" s="5"/>
      <c r="V76" s="5"/>
      <c r="W76" s="5">
        <v>0</v>
      </c>
      <c r="X76" s="5">
        <v>1</v>
      </c>
      <c r="Y76" s="5">
        <v>0</v>
      </c>
      <c r="Z76" s="5">
        <v>0</v>
      </c>
      <c r="AA76" s="5">
        <v>1</v>
      </c>
      <c r="AB76" s="5">
        <v>0</v>
      </c>
    </row>
    <row r="77" spans="1:28" ht="12.75">
      <c r="A77" s="5">
        <v>50</v>
      </c>
      <c r="B77" s="5">
        <v>0</v>
      </c>
      <c r="C77" s="5">
        <v>0</v>
      </c>
      <c r="D77" s="5">
        <v>1</v>
      </c>
      <c r="E77" s="5">
        <v>204</v>
      </c>
      <c r="F77" s="5">
        <f>ROUND(Source!R63,O77)</f>
        <v>62.76</v>
      </c>
      <c r="G77" s="5" t="s">
        <v>151</v>
      </c>
      <c r="H77" s="5" t="s">
        <v>152</v>
      </c>
      <c r="I77" s="5"/>
      <c r="J77" s="5"/>
      <c r="K77" s="5">
        <v>204</v>
      </c>
      <c r="L77" s="5">
        <v>13</v>
      </c>
      <c r="M77" s="5">
        <v>3</v>
      </c>
      <c r="N77" s="5" t="s">
        <v>3</v>
      </c>
      <c r="O77" s="5">
        <v>2</v>
      </c>
      <c r="P77" s="5">
        <f>ROUND(Source!DJ63,O77)</f>
        <v>2343.26</v>
      </c>
      <c r="Q77" s="5"/>
      <c r="R77" s="5"/>
      <c r="S77" s="5"/>
      <c r="T77" s="5"/>
      <c r="U77" s="5"/>
      <c r="V77" s="5"/>
      <c r="W77" s="5">
        <v>62.760000000000005</v>
      </c>
      <c r="X77" s="5">
        <v>1</v>
      </c>
      <c r="Y77" s="5">
        <v>62.760000000000005</v>
      </c>
      <c r="Z77" s="5">
        <v>2343.2599999999998</v>
      </c>
      <c r="AA77" s="5">
        <v>1</v>
      </c>
      <c r="AB77" s="5">
        <v>2343.2599999999998</v>
      </c>
    </row>
    <row r="78" spans="1:28" ht="12.75">
      <c r="A78" s="5">
        <v>50</v>
      </c>
      <c r="B78" s="5">
        <v>0</v>
      </c>
      <c r="C78" s="5">
        <v>0</v>
      </c>
      <c r="D78" s="5">
        <v>1</v>
      </c>
      <c r="E78" s="5">
        <v>205</v>
      </c>
      <c r="F78" s="5">
        <f>ROUND(Source!S63,O78)</f>
        <v>1938.13</v>
      </c>
      <c r="G78" s="5" t="s">
        <v>153</v>
      </c>
      <c r="H78" s="5" t="s">
        <v>154</v>
      </c>
      <c r="I78" s="5"/>
      <c r="J78" s="5"/>
      <c r="K78" s="5">
        <v>205</v>
      </c>
      <c r="L78" s="5">
        <v>14</v>
      </c>
      <c r="M78" s="5">
        <v>3</v>
      </c>
      <c r="N78" s="5" t="s">
        <v>3</v>
      </c>
      <c r="O78" s="5">
        <v>2</v>
      </c>
      <c r="P78" s="5">
        <f>ROUND(Source!DK63,O78)</f>
        <v>72369.67</v>
      </c>
      <c r="Q78" s="5"/>
      <c r="R78" s="5"/>
      <c r="S78" s="5"/>
      <c r="T78" s="5"/>
      <c r="U78" s="5"/>
      <c r="V78" s="5"/>
      <c r="W78" s="5">
        <v>1938.1299999999999</v>
      </c>
      <c r="X78" s="5">
        <v>1</v>
      </c>
      <c r="Y78" s="5">
        <v>1938.1299999999999</v>
      </c>
      <c r="Z78" s="5">
        <v>72369.67</v>
      </c>
      <c r="AA78" s="5">
        <v>1</v>
      </c>
      <c r="AB78" s="5">
        <v>72369.67</v>
      </c>
    </row>
    <row r="79" spans="1:28" ht="12.75">
      <c r="A79" s="5">
        <v>50</v>
      </c>
      <c r="B79" s="5">
        <v>0</v>
      </c>
      <c r="C79" s="5">
        <v>0</v>
      </c>
      <c r="D79" s="5">
        <v>1</v>
      </c>
      <c r="E79" s="5">
        <v>232</v>
      </c>
      <c r="F79" s="5">
        <f>ROUND(Source!BC63,O79)</f>
        <v>0</v>
      </c>
      <c r="G79" s="5" t="s">
        <v>155</v>
      </c>
      <c r="H79" s="5" t="s">
        <v>156</v>
      </c>
      <c r="I79" s="5"/>
      <c r="J79" s="5"/>
      <c r="K79" s="5">
        <v>232</v>
      </c>
      <c r="L79" s="5">
        <v>15</v>
      </c>
      <c r="M79" s="5">
        <v>3</v>
      </c>
      <c r="N79" s="5" t="s">
        <v>3</v>
      </c>
      <c r="O79" s="5">
        <v>2</v>
      </c>
      <c r="P79" s="5">
        <f>ROUND(Source!EU63,O79)</f>
        <v>0</v>
      </c>
      <c r="Q79" s="5"/>
      <c r="R79" s="5"/>
      <c r="S79" s="5"/>
      <c r="T79" s="5"/>
      <c r="U79" s="5"/>
      <c r="V79" s="5"/>
      <c r="W79" s="5">
        <v>0</v>
      </c>
      <c r="X79" s="5">
        <v>1</v>
      </c>
      <c r="Y79" s="5">
        <v>0</v>
      </c>
      <c r="Z79" s="5">
        <v>0</v>
      </c>
      <c r="AA79" s="5">
        <v>1</v>
      </c>
      <c r="AB79" s="5">
        <v>0</v>
      </c>
    </row>
    <row r="80" spans="1:28" ht="12.75">
      <c r="A80" s="5">
        <v>50</v>
      </c>
      <c r="B80" s="5">
        <v>0</v>
      </c>
      <c r="C80" s="5">
        <v>0</v>
      </c>
      <c r="D80" s="5">
        <v>1</v>
      </c>
      <c r="E80" s="5">
        <v>214</v>
      </c>
      <c r="F80" s="5">
        <f>ROUND(Source!AS63,O80)</f>
        <v>1079737.93</v>
      </c>
      <c r="G80" s="5" t="s">
        <v>157</v>
      </c>
      <c r="H80" s="5" t="s">
        <v>158</v>
      </c>
      <c r="I80" s="5"/>
      <c r="J80" s="5"/>
      <c r="K80" s="5">
        <v>214</v>
      </c>
      <c r="L80" s="5">
        <v>16</v>
      </c>
      <c r="M80" s="5">
        <v>3</v>
      </c>
      <c r="N80" s="5" t="s">
        <v>3</v>
      </c>
      <c r="O80" s="5">
        <v>2</v>
      </c>
      <c r="P80" s="5">
        <f>ROUND(Source!EK63,O80)</f>
        <v>1274692.3</v>
      </c>
      <c r="Q80" s="5"/>
      <c r="R80" s="5"/>
      <c r="S80" s="5"/>
      <c r="T80" s="5"/>
      <c r="U80" s="5"/>
      <c r="V80" s="5"/>
      <c r="W80" s="5">
        <v>1079737.93</v>
      </c>
      <c r="X80" s="5">
        <v>1</v>
      </c>
      <c r="Y80" s="5">
        <v>1079737.93</v>
      </c>
      <c r="Z80" s="5">
        <v>1274692.3</v>
      </c>
      <c r="AA80" s="5">
        <v>1</v>
      </c>
      <c r="AB80" s="5">
        <v>1274692.3</v>
      </c>
    </row>
    <row r="81" spans="1:28" ht="12.75">
      <c r="A81" s="5">
        <v>50</v>
      </c>
      <c r="B81" s="5">
        <v>0</v>
      </c>
      <c r="C81" s="5">
        <v>0</v>
      </c>
      <c r="D81" s="5">
        <v>1</v>
      </c>
      <c r="E81" s="5">
        <v>215</v>
      </c>
      <c r="F81" s="5">
        <f>ROUND(Source!AT63,O81)</f>
        <v>256960</v>
      </c>
      <c r="G81" s="5" t="s">
        <v>159</v>
      </c>
      <c r="H81" s="5" t="s">
        <v>160</v>
      </c>
      <c r="I81" s="5"/>
      <c r="J81" s="5"/>
      <c r="K81" s="5">
        <v>215</v>
      </c>
      <c r="L81" s="5">
        <v>17</v>
      </c>
      <c r="M81" s="5">
        <v>3</v>
      </c>
      <c r="N81" s="5" t="s">
        <v>3</v>
      </c>
      <c r="O81" s="5">
        <v>2</v>
      </c>
      <c r="P81" s="5">
        <f>ROUND(Source!EL63,O81)</f>
        <v>256960</v>
      </c>
      <c r="Q81" s="5"/>
      <c r="R81" s="5"/>
      <c r="S81" s="5"/>
      <c r="T81" s="5"/>
      <c r="U81" s="5"/>
      <c r="V81" s="5"/>
      <c r="W81" s="5">
        <v>256960</v>
      </c>
      <c r="X81" s="5">
        <v>1</v>
      </c>
      <c r="Y81" s="5">
        <v>256960</v>
      </c>
      <c r="Z81" s="5">
        <v>256960</v>
      </c>
      <c r="AA81" s="5">
        <v>1</v>
      </c>
      <c r="AB81" s="5">
        <v>256960</v>
      </c>
    </row>
    <row r="82" spans="1:28" ht="12.75">
      <c r="A82" s="5">
        <v>50</v>
      </c>
      <c r="B82" s="5">
        <v>0</v>
      </c>
      <c r="C82" s="5">
        <v>0</v>
      </c>
      <c r="D82" s="5">
        <v>1</v>
      </c>
      <c r="E82" s="5">
        <v>217</v>
      </c>
      <c r="F82" s="5">
        <f>ROUND(Source!AU63,O82)</f>
        <v>0</v>
      </c>
      <c r="G82" s="5" t="s">
        <v>161</v>
      </c>
      <c r="H82" s="5" t="s">
        <v>162</v>
      </c>
      <c r="I82" s="5"/>
      <c r="J82" s="5"/>
      <c r="K82" s="5">
        <v>217</v>
      </c>
      <c r="L82" s="5">
        <v>18</v>
      </c>
      <c r="M82" s="5">
        <v>3</v>
      </c>
      <c r="N82" s="5" t="s">
        <v>3</v>
      </c>
      <c r="O82" s="5">
        <v>2</v>
      </c>
      <c r="P82" s="5">
        <f>ROUND(Source!EM63,O82)</f>
        <v>0</v>
      </c>
      <c r="Q82" s="5"/>
      <c r="R82" s="5"/>
      <c r="S82" s="5"/>
      <c r="T82" s="5"/>
      <c r="U82" s="5"/>
      <c r="V82" s="5"/>
      <c r="W82" s="5">
        <v>0</v>
      </c>
      <c r="X82" s="5">
        <v>1</v>
      </c>
      <c r="Y82" s="5">
        <v>0</v>
      </c>
      <c r="Z82" s="5">
        <v>0</v>
      </c>
      <c r="AA82" s="5">
        <v>1</v>
      </c>
      <c r="AB82" s="5">
        <v>0</v>
      </c>
    </row>
    <row r="83" spans="1:28" ht="12.75">
      <c r="A83" s="5">
        <v>50</v>
      </c>
      <c r="B83" s="5">
        <v>0</v>
      </c>
      <c r="C83" s="5">
        <v>0</v>
      </c>
      <c r="D83" s="5">
        <v>1</v>
      </c>
      <c r="E83" s="5">
        <v>230</v>
      </c>
      <c r="F83" s="5">
        <f>ROUND(Source!BA63,O83)</f>
        <v>0</v>
      </c>
      <c r="G83" s="5" t="s">
        <v>163</v>
      </c>
      <c r="H83" s="5" t="s">
        <v>164</v>
      </c>
      <c r="I83" s="5"/>
      <c r="J83" s="5"/>
      <c r="K83" s="5">
        <v>230</v>
      </c>
      <c r="L83" s="5">
        <v>19</v>
      </c>
      <c r="M83" s="5">
        <v>3</v>
      </c>
      <c r="N83" s="5" t="s">
        <v>3</v>
      </c>
      <c r="O83" s="5">
        <v>2</v>
      </c>
      <c r="P83" s="5">
        <f>ROUND(Source!ES63,O83)</f>
        <v>0</v>
      </c>
      <c r="Q83" s="5"/>
      <c r="R83" s="5"/>
      <c r="S83" s="5"/>
      <c r="T83" s="5"/>
      <c r="U83" s="5"/>
      <c r="V83" s="5"/>
      <c r="W83" s="5">
        <v>0</v>
      </c>
      <c r="X83" s="5">
        <v>1</v>
      </c>
      <c r="Y83" s="5">
        <v>0</v>
      </c>
      <c r="Z83" s="5">
        <v>0</v>
      </c>
      <c r="AA83" s="5">
        <v>1</v>
      </c>
      <c r="AB83" s="5">
        <v>0</v>
      </c>
    </row>
    <row r="84" spans="1:28" ht="12.75">
      <c r="A84" s="5">
        <v>50</v>
      </c>
      <c r="B84" s="5">
        <v>0</v>
      </c>
      <c r="C84" s="5">
        <v>0</v>
      </c>
      <c r="D84" s="5">
        <v>1</v>
      </c>
      <c r="E84" s="5">
        <v>206</v>
      </c>
      <c r="F84" s="5">
        <f>ROUND(Source!T63,O84)</f>
        <v>0</v>
      </c>
      <c r="G84" s="5" t="s">
        <v>165</v>
      </c>
      <c r="H84" s="5" t="s">
        <v>166</v>
      </c>
      <c r="I84" s="5"/>
      <c r="J84" s="5"/>
      <c r="K84" s="5">
        <v>206</v>
      </c>
      <c r="L84" s="5">
        <v>20</v>
      </c>
      <c r="M84" s="5">
        <v>3</v>
      </c>
      <c r="N84" s="5" t="s">
        <v>3</v>
      </c>
      <c r="O84" s="5">
        <v>2</v>
      </c>
      <c r="P84" s="5">
        <f>ROUND(Source!DL63,O84)</f>
        <v>0</v>
      </c>
      <c r="Q84" s="5"/>
      <c r="R84" s="5"/>
      <c r="S84" s="5"/>
      <c r="T84" s="5"/>
      <c r="U84" s="5"/>
      <c r="V84" s="5"/>
      <c r="W84" s="5">
        <v>0</v>
      </c>
      <c r="X84" s="5">
        <v>1</v>
      </c>
      <c r="Y84" s="5">
        <v>0</v>
      </c>
      <c r="Z84" s="5">
        <v>0</v>
      </c>
      <c r="AA84" s="5">
        <v>1</v>
      </c>
      <c r="AB84" s="5">
        <v>0</v>
      </c>
    </row>
    <row r="85" spans="1:28" ht="12.75">
      <c r="A85" s="5">
        <v>50</v>
      </c>
      <c r="B85" s="5">
        <v>0</v>
      </c>
      <c r="C85" s="5">
        <v>0</v>
      </c>
      <c r="D85" s="5">
        <v>1</v>
      </c>
      <c r="E85" s="5">
        <v>207</v>
      </c>
      <c r="F85" s="5">
        <f>Source!U63</f>
        <v>196.45770199999998</v>
      </c>
      <c r="G85" s="5" t="s">
        <v>167</v>
      </c>
      <c r="H85" s="5" t="s">
        <v>168</v>
      </c>
      <c r="I85" s="5"/>
      <c r="J85" s="5"/>
      <c r="K85" s="5">
        <v>207</v>
      </c>
      <c r="L85" s="5">
        <v>21</v>
      </c>
      <c r="M85" s="5">
        <v>3</v>
      </c>
      <c r="N85" s="5" t="s">
        <v>3</v>
      </c>
      <c r="O85" s="5">
        <v>-1</v>
      </c>
      <c r="P85" s="5">
        <f>Source!DM63</f>
        <v>196.45770199999998</v>
      </c>
      <c r="Q85" s="5"/>
      <c r="R85" s="5"/>
      <c r="S85" s="5"/>
      <c r="T85" s="5"/>
      <c r="U85" s="5"/>
      <c r="V85" s="5"/>
      <c r="W85" s="5">
        <v>196.457702</v>
      </c>
      <c r="X85" s="5">
        <v>1</v>
      </c>
      <c r="Y85" s="5">
        <v>196.457702</v>
      </c>
      <c r="Z85" s="5">
        <v>196.457702</v>
      </c>
      <c r="AA85" s="5">
        <v>1</v>
      </c>
      <c r="AB85" s="5">
        <v>196.457702</v>
      </c>
    </row>
    <row r="86" spans="1:28" ht="12.75">
      <c r="A86" s="5">
        <v>50</v>
      </c>
      <c r="B86" s="5">
        <v>0</v>
      </c>
      <c r="C86" s="5">
        <v>0</v>
      </c>
      <c r="D86" s="5">
        <v>1</v>
      </c>
      <c r="E86" s="5">
        <v>208</v>
      </c>
      <c r="F86" s="5">
        <f>Source!V63</f>
        <v>5.1020650000000005</v>
      </c>
      <c r="G86" s="5" t="s">
        <v>169</v>
      </c>
      <c r="H86" s="5" t="s">
        <v>170</v>
      </c>
      <c r="I86" s="5"/>
      <c r="J86" s="5"/>
      <c r="K86" s="5">
        <v>208</v>
      </c>
      <c r="L86" s="5">
        <v>22</v>
      </c>
      <c r="M86" s="5">
        <v>3</v>
      </c>
      <c r="N86" s="5" t="s">
        <v>3</v>
      </c>
      <c r="O86" s="5">
        <v>-1</v>
      </c>
      <c r="P86" s="5">
        <f>Source!DN63</f>
        <v>5.1020650000000005</v>
      </c>
      <c r="Q86" s="5"/>
      <c r="R86" s="5"/>
      <c r="S86" s="5"/>
      <c r="T86" s="5"/>
      <c r="U86" s="5"/>
      <c r="V86" s="5"/>
      <c r="W86" s="5">
        <v>5.102065</v>
      </c>
      <c r="X86" s="5">
        <v>1</v>
      </c>
      <c r="Y86" s="5">
        <v>5.102065</v>
      </c>
      <c r="Z86" s="5">
        <v>5.102065</v>
      </c>
      <c r="AA86" s="5">
        <v>1</v>
      </c>
      <c r="AB86" s="5">
        <v>5.102065</v>
      </c>
    </row>
    <row r="87" spans="1:28" ht="12.75">
      <c r="A87" s="5">
        <v>50</v>
      </c>
      <c r="B87" s="5">
        <v>0</v>
      </c>
      <c r="C87" s="5">
        <v>0</v>
      </c>
      <c r="D87" s="5">
        <v>1</v>
      </c>
      <c r="E87" s="5">
        <v>209</v>
      </c>
      <c r="F87" s="5">
        <f>ROUND(Source!W63,O87)</f>
        <v>0</v>
      </c>
      <c r="G87" s="5" t="s">
        <v>171</v>
      </c>
      <c r="H87" s="5" t="s">
        <v>172</v>
      </c>
      <c r="I87" s="5"/>
      <c r="J87" s="5"/>
      <c r="K87" s="5">
        <v>209</v>
      </c>
      <c r="L87" s="5">
        <v>23</v>
      </c>
      <c r="M87" s="5">
        <v>3</v>
      </c>
      <c r="N87" s="5" t="s">
        <v>3</v>
      </c>
      <c r="O87" s="5">
        <v>2</v>
      </c>
      <c r="P87" s="5">
        <f>ROUND(Source!DO63,O87)</f>
        <v>0</v>
      </c>
      <c r="Q87" s="5"/>
      <c r="R87" s="5"/>
      <c r="S87" s="5"/>
      <c r="T87" s="5"/>
      <c r="U87" s="5"/>
      <c r="V87" s="5"/>
      <c r="W87" s="5">
        <v>0</v>
      </c>
      <c r="X87" s="5">
        <v>1</v>
      </c>
      <c r="Y87" s="5">
        <v>0</v>
      </c>
      <c r="Z87" s="5">
        <v>0</v>
      </c>
      <c r="AA87" s="5">
        <v>1</v>
      </c>
      <c r="AB87" s="5">
        <v>0</v>
      </c>
    </row>
    <row r="88" spans="1:28" ht="12.75">
      <c r="A88" s="5">
        <v>50</v>
      </c>
      <c r="B88" s="5">
        <v>0</v>
      </c>
      <c r="C88" s="5">
        <v>0</v>
      </c>
      <c r="D88" s="5">
        <v>1</v>
      </c>
      <c r="E88" s="5">
        <v>233</v>
      </c>
      <c r="F88" s="5">
        <f>ROUND(Source!BD63,O88)</f>
        <v>0</v>
      </c>
      <c r="G88" s="5" t="s">
        <v>173</v>
      </c>
      <c r="H88" s="5" t="s">
        <v>174</v>
      </c>
      <c r="I88" s="5"/>
      <c r="J88" s="5"/>
      <c r="K88" s="5">
        <v>233</v>
      </c>
      <c r="L88" s="5">
        <v>24</v>
      </c>
      <c r="M88" s="5">
        <v>3</v>
      </c>
      <c r="N88" s="5" t="s">
        <v>3</v>
      </c>
      <c r="O88" s="5">
        <v>2</v>
      </c>
      <c r="P88" s="5">
        <f>ROUND(Source!EV63,O88)</f>
        <v>0</v>
      </c>
      <c r="Q88" s="5"/>
      <c r="R88" s="5"/>
      <c r="S88" s="5"/>
      <c r="T88" s="5"/>
      <c r="U88" s="5"/>
      <c r="V88" s="5"/>
      <c r="W88" s="5">
        <v>0</v>
      </c>
      <c r="X88" s="5">
        <v>1</v>
      </c>
      <c r="Y88" s="5">
        <v>0</v>
      </c>
      <c r="Z88" s="5">
        <v>0</v>
      </c>
      <c r="AA88" s="5">
        <v>1</v>
      </c>
      <c r="AB88" s="5">
        <v>0</v>
      </c>
    </row>
    <row r="89" spans="1:28" ht="12.75">
      <c r="A89" s="5">
        <v>50</v>
      </c>
      <c r="B89" s="5">
        <v>0</v>
      </c>
      <c r="C89" s="5">
        <v>0</v>
      </c>
      <c r="D89" s="5">
        <v>1</v>
      </c>
      <c r="E89" s="5">
        <v>210</v>
      </c>
      <c r="F89" s="5">
        <f>ROUND(Source!X63,O89)</f>
        <v>1882.86</v>
      </c>
      <c r="G89" s="5" t="s">
        <v>175</v>
      </c>
      <c r="H89" s="5" t="s">
        <v>176</v>
      </c>
      <c r="I89" s="5"/>
      <c r="J89" s="5"/>
      <c r="K89" s="5">
        <v>210</v>
      </c>
      <c r="L89" s="5">
        <v>25</v>
      </c>
      <c r="M89" s="5">
        <v>3</v>
      </c>
      <c r="N89" s="5" t="s">
        <v>3</v>
      </c>
      <c r="O89" s="5">
        <v>2</v>
      </c>
      <c r="P89" s="5">
        <f>ROUND(Source!DP63,O89)</f>
        <v>70305.36</v>
      </c>
      <c r="Q89" s="5"/>
      <c r="R89" s="5"/>
      <c r="S89" s="5"/>
      <c r="T89" s="5"/>
      <c r="U89" s="5"/>
      <c r="V89" s="5"/>
      <c r="W89" s="5">
        <v>1882.86</v>
      </c>
      <c r="X89" s="5">
        <v>1</v>
      </c>
      <c r="Y89" s="5">
        <v>1882.86</v>
      </c>
      <c r="Z89" s="5">
        <v>70305.36</v>
      </c>
      <c r="AA89" s="5">
        <v>1</v>
      </c>
      <c r="AB89" s="5">
        <v>70305.36</v>
      </c>
    </row>
    <row r="90" spans="1:28" ht="12.75">
      <c r="A90" s="5">
        <v>50</v>
      </c>
      <c r="B90" s="5">
        <v>0</v>
      </c>
      <c r="C90" s="5">
        <v>0</v>
      </c>
      <c r="D90" s="5">
        <v>1</v>
      </c>
      <c r="E90" s="5">
        <v>211</v>
      </c>
      <c r="F90" s="5">
        <f>ROUND(Source!Y63,O90)</f>
        <v>1117.21</v>
      </c>
      <c r="G90" s="5" t="s">
        <v>177</v>
      </c>
      <c r="H90" s="5" t="s">
        <v>178</v>
      </c>
      <c r="I90" s="5"/>
      <c r="J90" s="5"/>
      <c r="K90" s="5">
        <v>211</v>
      </c>
      <c r="L90" s="5">
        <v>26</v>
      </c>
      <c r="M90" s="5">
        <v>3</v>
      </c>
      <c r="N90" s="5" t="s">
        <v>3</v>
      </c>
      <c r="O90" s="5">
        <v>2</v>
      </c>
      <c r="P90" s="5">
        <f>ROUND(Source!DQ63,O90)</f>
        <v>41716.55</v>
      </c>
      <c r="Q90" s="5"/>
      <c r="R90" s="5"/>
      <c r="S90" s="5"/>
      <c r="T90" s="5"/>
      <c r="U90" s="5"/>
      <c r="V90" s="5"/>
      <c r="W90" s="5">
        <v>1117.21</v>
      </c>
      <c r="X90" s="5">
        <v>1</v>
      </c>
      <c r="Y90" s="5">
        <v>1117.21</v>
      </c>
      <c r="Z90" s="5">
        <v>41716.55</v>
      </c>
      <c r="AA90" s="5">
        <v>1</v>
      </c>
      <c r="AB90" s="5">
        <v>41716.55</v>
      </c>
    </row>
    <row r="91" spans="1:28" ht="12.75">
      <c r="A91" s="5">
        <v>50</v>
      </c>
      <c r="B91" s="5">
        <v>0</v>
      </c>
      <c r="C91" s="5">
        <v>0</v>
      </c>
      <c r="D91" s="5">
        <v>1</v>
      </c>
      <c r="E91" s="5">
        <v>224</v>
      </c>
      <c r="F91" s="5">
        <f>ROUND(Source!AR63,O91)</f>
        <v>1336697.93</v>
      </c>
      <c r="G91" s="5" t="s">
        <v>179</v>
      </c>
      <c r="H91" s="5" t="s">
        <v>180</v>
      </c>
      <c r="I91" s="5"/>
      <c r="J91" s="5"/>
      <c r="K91" s="5">
        <v>224</v>
      </c>
      <c r="L91" s="5">
        <v>27</v>
      </c>
      <c r="M91" s="5">
        <v>3</v>
      </c>
      <c r="N91" s="5" t="s">
        <v>3</v>
      </c>
      <c r="O91" s="5">
        <v>2</v>
      </c>
      <c r="P91" s="5">
        <f>ROUND(Source!EJ63,O91)</f>
        <v>1531652.3</v>
      </c>
      <c r="Q91" s="5"/>
      <c r="R91" s="5"/>
      <c r="S91" s="5"/>
      <c r="T91" s="5"/>
      <c r="U91" s="5"/>
      <c r="V91" s="5"/>
      <c r="W91" s="5">
        <v>1336697.9300000002</v>
      </c>
      <c r="X91" s="5">
        <v>1</v>
      </c>
      <c r="Y91" s="5">
        <v>1336697.9300000002</v>
      </c>
      <c r="Z91" s="5">
        <v>1531652.3000000003</v>
      </c>
      <c r="AA91" s="5">
        <v>1</v>
      </c>
      <c r="AB91" s="5">
        <v>1531652.3000000003</v>
      </c>
    </row>
    <row r="92" spans="1:28" ht="12.75">
      <c r="A92" s="5">
        <v>50</v>
      </c>
      <c r="B92" s="5">
        <v>1</v>
      </c>
      <c r="C92" s="5">
        <v>0</v>
      </c>
      <c r="D92" s="5">
        <v>2</v>
      </c>
      <c r="E92" s="5">
        <v>0</v>
      </c>
      <c r="F92" s="5">
        <f>ROUND(F91,O92)</f>
        <v>1336697.93</v>
      </c>
      <c r="G92" s="5" t="s">
        <v>181</v>
      </c>
      <c r="H92" s="5" t="s">
        <v>182</v>
      </c>
      <c r="I92" s="5"/>
      <c r="J92" s="5"/>
      <c r="K92" s="5">
        <v>212</v>
      </c>
      <c r="L92" s="5">
        <v>28</v>
      </c>
      <c r="M92" s="5">
        <v>0</v>
      </c>
      <c r="N92" s="5" t="s">
        <v>3</v>
      </c>
      <c r="O92" s="5">
        <v>2</v>
      </c>
      <c r="P92" s="5">
        <f>ROUND(P91,O92)</f>
        <v>1531652.3</v>
      </c>
      <c r="Q92" s="5"/>
      <c r="R92" s="5"/>
      <c r="S92" s="5"/>
      <c r="T92" s="5"/>
      <c r="U92" s="5"/>
      <c r="V92" s="5"/>
      <c r="W92" s="5">
        <v>1336697.93</v>
      </c>
      <c r="X92" s="5">
        <v>1</v>
      </c>
      <c r="Y92" s="5">
        <v>1336697.93</v>
      </c>
      <c r="Z92" s="5">
        <v>1531652.3</v>
      </c>
      <c r="AA92" s="5">
        <v>1</v>
      </c>
      <c r="AB92" s="5">
        <v>1531652.3</v>
      </c>
    </row>
    <row r="94" spans="1:88" ht="12.75">
      <c r="A94" s="1">
        <v>4</v>
      </c>
      <c r="B94" s="1">
        <v>1</v>
      </c>
      <c r="C94" s="1"/>
      <c r="D94" s="1">
        <f>ROW(A103)</f>
        <v>103</v>
      </c>
      <c r="E94" s="1"/>
      <c r="F94" s="1" t="s">
        <v>21</v>
      </c>
      <c r="G94" s="1" t="s">
        <v>183</v>
      </c>
      <c r="H94" s="1" t="s">
        <v>3</v>
      </c>
      <c r="I94" s="1">
        <v>0</v>
      </c>
      <c r="J94" s="1"/>
      <c r="K94" s="1">
        <v>0</v>
      </c>
      <c r="L94" s="1"/>
      <c r="M94" s="1" t="s">
        <v>3</v>
      </c>
      <c r="N94" s="1"/>
      <c r="O94" s="1"/>
      <c r="P94" s="1"/>
      <c r="Q94" s="1"/>
      <c r="R94" s="1"/>
      <c r="S94" s="1">
        <v>0</v>
      </c>
      <c r="T94" s="1">
        <v>0</v>
      </c>
      <c r="U94" s="1" t="s">
        <v>3</v>
      </c>
      <c r="V94" s="1">
        <v>0</v>
      </c>
      <c r="W94" s="1"/>
      <c r="X94" s="1"/>
      <c r="Y94" s="1"/>
      <c r="Z94" s="1"/>
      <c r="AA94" s="1"/>
      <c r="AB94" s="1" t="s">
        <v>3</v>
      </c>
      <c r="AC94" s="1" t="s">
        <v>3</v>
      </c>
      <c r="AD94" s="1" t="s">
        <v>3</v>
      </c>
      <c r="AE94" s="1" t="s">
        <v>3</v>
      </c>
      <c r="AF94" s="1" t="s">
        <v>3</v>
      </c>
      <c r="AG94" s="1" t="s">
        <v>3</v>
      </c>
      <c r="AH94" s="1"/>
      <c r="AI94" s="1"/>
      <c r="AJ94" s="1"/>
      <c r="AK94" s="1"/>
      <c r="AL94" s="1"/>
      <c r="AM94" s="1"/>
      <c r="AN94" s="1"/>
      <c r="AO94" s="1"/>
      <c r="AP94" s="1" t="s">
        <v>3</v>
      </c>
      <c r="AQ94" s="1" t="s">
        <v>3</v>
      </c>
      <c r="AR94" s="1" t="s">
        <v>3</v>
      </c>
      <c r="AS94" s="1"/>
      <c r="AT94" s="1"/>
      <c r="AU94" s="1"/>
      <c r="AV94" s="1"/>
      <c r="AW94" s="1"/>
      <c r="AX94" s="1"/>
      <c r="AY94" s="1"/>
      <c r="AZ94" s="1" t="s">
        <v>3</v>
      </c>
      <c r="BA94" s="1"/>
      <c r="BB94" s="1" t="s">
        <v>3</v>
      </c>
      <c r="BC94" s="1" t="s">
        <v>3</v>
      </c>
      <c r="BD94" s="1" t="s">
        <v>3</v>
      </c>
      <c r="BE94" s="1" t="s">
        <v>3</v>
      </c>
      <c r="BF94" s="1" t="s">
        <v>3</v>
      </c>
      <c r="BG94" s="1" t="s">
        <v>3</v>
      </c>
      <c r="BH94" s="1" t="s">
        <v>3</v>
      </c>
      <c r="BI94" s="1" t="s">
        <v>3</v>
      </c>
      <c r="BJ94" s="1" t="s">
        <v>3</v>
      </c>
      <c r="BK94" s="1" t="s">
        <v>3</v>
      </c>
      <c r="BL94" s="1" t="s">
        <v>3</v>
      </c>
      <c r="BM94" s="1" t="s">
        <v>3</v>
      </c>
      <c r="BN94" s="1" t="s">
        <v>3</v>
      </c>
      <c r="BO94" s="1" t="s">
        <v>3</v>
      </c>
      <c r="BP94" s="1" t="s">
        <v>3</v>
      </c>
      <c r="BQ94" s="1"/>
      <c r="BR94" s="1"/>
      <c r="BS94" s="1"/>
      <c r="BT94" s="1"/>
      <c r="BU94" s="1"/>
      <c r="BV94" s="1"/>
      <c r="BW94" s="1"/>
      <c r="BX94" s="1">
        <v>0</v>
      </c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>
        <v>0</v>
      </c>
    </row>
    <row r="96" spans="1:206" ht="12.75">
      <c r="A96" s="3">
        <v>52</v>
      </c>
      <c r="B96" s="3">
        <f aca="true" t="shared" si="67" ref="B96:G96">B103</f>
        <v>1</v>
      </c>
      <c r="C96" s="3">
        <f t="shared" si="67"/>
        <v>4</v>
      </c>
      <c r="D96" s="3">
        <f t="shared" si="67"/>
        <v>94</v>
      </c>
      <c r="E96" s="3">
        <f t="shared" si="67"/>
        <v>0</v>
      </c>
      <c r="F96" s="3" t="str">
        <f t="shared" si="67"/>
        <v>Новый раздел</v>
      </c>
      <c r="G96" s="3" t="str">
        <f t="shared" si="67"/>
        <v>Разные работы</v>
      </c>
      <c r="H96" s="3"/>
      <c r="I96" s="3"/>
      <c r="J96" s="3"/>
      <c r="K96" s="3"/>
      <c r="L96" s="3"/>
      <c r="M96" s="3"/>
      <c r="N96" s="3"/>
      <c r="O96" s="3">
        <f aca="true" t="shared" si="68" ref="O96:AT96">O103</f>
        <v>0</v>
      </c>
      <c r="P96" s="3">
        <f t="shared" si="68"/>
        <v>0</v>
      </c>
      <c r="Q96" s="3">
        <f t="shared" si="68"/>
        <v>0</v>
      </c>
      <c r="R96" s="3">
        <f t="shared" si="68"/>
        <v>0</v>
      </c>
      <c r="S96" s="3">
        <f t="shared" si="68"/>
        <v>0</v>
      </c>
      <c r="T96" s="3">
        <f t="shared" si="68"/>
        <v>0</v>
      </c>
      <c r="U96" s="3">
        <f t="shared" si="68"/>
        <v>0</v>
      </c>
      <c r="V96" s="3">
        <f t="shared" si="68"/>
        <v>0</v>
      </c>
      <c r="W96" s="3">
        <f t="shared" si="68"/>
        <v>0</v>
      </c>
      <c r="X96" s="3">
        <f t="shared" si="68"/>
        <v>0</v>
      </c>
      <c r="Y96" s="3">
        <f t="shared" si="68"/>
        <v>0</v>
      </c>
      <c r="Z96" s="3">
        <f t="shared" si="68"/>
        <v>0</v>
      </c>
      <c r="AA96" s="3">
        <f t="shared" si="68"/>
        <v>0</v>
      </c>
      <c r="AB96" s="3">
        <f t="shared" si="68"/>
        <v>0</v>
      </c>
      <c r="AC96" s="3">
        <f t="shared" si="68"/>
        <v>0</v>
      </c>
      <c r="AD96" s="3">
        <f t="shared" si="68"/>
        <v>0</v>
      </c>
      <c r="AE96" s="3">
        <f t="shared" si="68"/>
        <v>0</v>
      </c>
      <c r="AF96" s="3">
        <f t="shared" si="68"/>
        <v>0</v>
      </c>
      <c r="AG96" s="3">
        <f t="shared" si="68"/>
        <v>0</v>
      </c>
      <c r="AH96" s="3">
        <f t="shared" si="68"/>
        <v>0</v>
      </c>
      <c r="AI96" s="3">
        <f t="shared" si="68"/>
        <v>0</v>
      </c>
      <c r="AJ96" s="3">
        <f t="shared" si="68"/>
        <v>0</v>
      </c>
      <c r="AK96" s="3">
        <f t="shared" si="68"/>
        <v>0</v>
      </c>
      <c r="AL96" s="3">
        <f t="shared" si="68"/>
        <v>0</v>
      </c>
      <c r="AM96" s="3">
        <f t="shared" si="68"/>
        <v>0</v>
      </c>
      <c r="AN96" s="3">
        <f t="shared" si="68"/>
        <v>0</v>
      </c>
      <c r="AO96" s="3">
        <f t="shared" si="68"/>
        <v>0</v>
      </c>
      <c r="AP96" s="3">
        <f t="shared" si="68"/>
        <v>0</v>
      </c>
      <c r="AQ96" s="3">
        <f t="shared" si="68"/>
        <v>0</v>
      </c>
      <c r="AR96" s="3">
        <f t="shared" si="68"/>
        <v>126.63</v>
      </c>
      <c r="AS96" s="3">
        <f t="shared" si="68"/>
        <v>126.63</v>
      </c>
      <c r="AT96" s="3">
        <f t="shared" si="68"/>
        <v>0</v>
      </c>
      <c r="AU96" s="3">
        <f aca="true" t="shared" si="69" ref="AU96:BZ96">AU103</f>
        <v>0</v>
      </c>
      <c r="AV96" s="3">
        <f t="shared" si="69"/>
        <v>0</v>
      </c>
      <c r="AW96" s="3">
        <f t="shared" si="69"/>
        <v>0</v>
      </c>
      <c r="AX96" s="3">
        <f t="shared" si="69"/>
        <v>0</v>
      </c>
      <c r="AY96" s="3">
        <f t="shared" si="69"/>
        <v>0</v>
      </c>
      <c r="AZ96" s="3">
        <f t="shared" si="69"/>
        <v>0</v>
      </c>
      <c r="BA96" s="3">
        <f t="shared" si="69"/>
        <v>0</v>
      </c>
      <c r="BB96" s="3">
        <f t="shared" si="69"/>
        <v>0</v>
      </c>
      <c r="BC96" s="3">
        <f t="shared" si="69"/>
        <v>0</v>
      </c>
      <c r="BD96" s="3">
        <f t="shared" si="69"/>
        <v>126.63</v>
      </c>
      <c r="BE96" s="3">
        <f t="shared" si="69"/>
        <v>0</v>
      </c>
      <c r="BF96" s="3">
        <f t="shared" si="69"/>
        <v>0</v>
      </c>
      <c r="BG96" s="3">
        <f t="shared" si="69"/>
        <v>0</v>
      </c>
      <c r="BH96" s="3">
        <f t="shared" si="69"/>
        <v>0</v>
      </c>
      <c r="BI96" s="3">
        <f t="shared" si="69"/>
        <v>0</v>
      </c>
      <c r="BJ96" s="3">
        <f t="shared" si="69"/>
        <v>0</v>
      </c>
      <c r="BK96" s="3">
        <f t="shared" si="69"/>
        <v>0</v>
      </c>
      <c r="BL96" s="3">
        <f t="shared" si="69"/>
        <v>0</v>
      </c>
      <c r="BM96" s="3">
        <f t="shared" si="69"/>
        <v>0</v>
      </c>
      <c r="BN96" s="3">
        <f t="shared" si="69"/>
        <v>0</v>
      </c>
      <c r="BO96" s="3">
        <f t="shared" si="69"/>
        <v>0</v>
      </c>
      <c r="BP96" s="3">
        <f t="shared" si="69"/>
        <v>0</v>
      </c>
      <c r="BQ96" s="3">
        <f t="shared" si="69"/>
        <v>0</v>
      </c>
      <c r="BR96" s="3">
        <f t="shared" si="69"/>
        <v>0</v>
      </c>
      <c r="BS96" s="3">
        <f t="shared" si="69"/>
        <v>0</v>
      </c>
      <c r="BT96" s="3">
        <f t="shared" si="69"/>
        <v>0</v>
      </c>
      <c r="BU96" s="3">
        <f t="shared" si="69"/>
        <v>0</v>
      </c>
      <c r="BV96" s="3">
        <f t="shared" si="69"/>
        <v>0</v>
      </c>
      <c r="BW96" s="3">
        <f t="shared" si="69"/>
        <v>0</v>
      </c>
      <c r="BX96" s="3">
        <f t="shared" si="69"/>
        <v>0</v>
      </c>
      <c r="BY96" s="3">
        <f t="shared" si="69"/>
        <v>0</v>
      </c>
      <c r="BZ96" s="3">
        <f t="shared" si="69"/>
        <v>0</v>
      </c>
      <c r="CA96" s="3">
        <f aca="true" t="shared" si="70" ref="CA96:DF96">CA103</f>
        <v>126.63</v>
      </c>
      <c r="CB96" s="3">
        <f t="shared" si="70"/>
        <v>126.63</v>
      </c>
      <c r="CC96" s="3">
        <f t="shared" si="70"/>
        <v>0</v>
      </c>
      <c r="CD96" s="3">
        <f t="shared" si="70"/>
        <v>0</v>
      </c>
      <c r="CE96" s="3">
        <f t="shared" si="70"/>
        <v>0</v>
      </c>
      <c r="CF96" s="3">
        <f t="shared" si="70"/>
        <v>0</v>
      </c>
      <c r="CG96" s="3">
        <f t="shared" si="70"/>
        <v>0</v>
      </c>
      <c r="CH96" s="3">
        <f t="shared" si="70"/>
        <v>0</v>
      </c>
      <c r="CI96" s="3">
        <f t="shared" si="70"/>
        <v>0</v>
      </c>
      <c r="CJ96" s="3">
        <f t="shared" si="70"/>
        <v>0</v>
      </c>
      <c r="CK96" s="3">
        <f t="shared" si="70"/>
        <v>0</v>
      </c>
      <c r="CL96" s="3">
        <f t="shared" si="70"/>
        <v>0</v>
      </c>
      <c r="CM96" s="3">
        <f t="shared" si="70"/>
        <v>126.63</v>
      </c>
      <c r="CN96" s="3">
        <f t="shared" si="70"/>
        <v>0</v>
      </c>
      <c r="CO96" s="3">
        <f t="shared" si="70"/>
        <v>0</v>
      </c>
      <c r="CP96" s="3">
        <f t="shared" si="70"/>
        <v>0</v>
      </c>
      <c r="CQ96" s="3">
        <f t="shared" si="70"/>
        <v>0</v>
      </c>
      <c r="CR96" s="3">
        <f t="shared" si="70"/>
        <v>0</v>
      </c>
      <c r="CS96" s="3">
        <f t="shared" si="70"/>
        <v>0</v>
      </c>
      <c r="CT96" s="3">
        <f t="shared" si="70"/>
        <v>0</v>
      </c>
      <c r="CU96" s="3">
        <f t="shared" si="70"/>
        <v>0</v>
      </c>
      <c r="CV96" s="3">
        <f t="shared" si="70"/>
        <v>0</v>
      </c>
      <c r="CW96" s="3">
        <f t="shared" si="70"/>
        <v>0</v>
      </c>
      <c r="CX96" s="3">
        <f t="shared" si="70"/>
        <v>0</v>
      </c>
      <c r="CY96" s="3">
        <f t="shared" si="70"/>
        <v>0</v>
      </c>
      <c r="CZ96" s="3">
        <f t="shared" si="70"/>
        <v>0</v>
      </c>
      <c r="DA96" s="3">
        <f t="shared" si="70"/>
        <v>0</v>
      </c>
      <c r="DB96" s="3">
        <f t="shared" si="70"/>
        <v>0</v>
      </c>
      <c r="DC96" s="3">
        <f t="shared" si="70"/>
        <v>0</v>
      </c>
      <c r="DD96" s="3">
        <f t="shared" si="70"/>
        <v>0</v>
      </c>
      <c r="DE96" s="3">
        <f t="shared" si="70"/>
        <v>0</v>
      </c>
      <c r="DF96" s="3">
        <f t="shared" si="70"/>
        <v>0</v>
      </c>
      <c r="DG96" s="4">
        <f aca="true" t="shared" si="71" ref="DG96:EL96">DG103</f>
        <v>0</v>
      </c>
      <c r="DH96" s="4">
        <f t="shared" si="71"/>
        <v>0</v>
      </c>
      <c r="DI96" s="4">
        <f t="shared" si="71"/>
        <v>0</v>
      </c>
      <c r="DJ96" s="4">
        <f t="shared" si="71"/>
        <v>0</v>
      </c>
      <c r="DK96" s="4">
        <f t="shared" si="71"/>
        <v>0</v>
      </c>
      <c r="DL96" s="4">
        <f t="shared" si="71"/>
        <v>0</v>
      </c>
      <c r="DM96" s="4">
        <f t="shared" si="71"/>
        <v>0</v>
      </c>
      <c r="DN96" s="4">
        <f t="shared" si="71"/>
        <v>0</v>
      </c>
      <c r="DO96" s="4">
        <f t="shared" si="71"/>
        <v>0</v>
      </c>
      <c r="DP96" s="4">
        <f t="shared" si="71"/>
        <v>0</v>
      </c>
      <c r="DQ96" s="4">
        <f t="shared" si="71"/>
        <v>0</v>
      </c>
      <c r="DR96" s="4">
        <f t="shared" si="71"/>
        <v>0</v>
      </c>
      <c r="DS96" s="4">
        <f t="shared" si="71"/>
        <v>0</v>
      </c>
      <c r="DT96" s="4">
        <f t="shared" si="71"/>
        <v>0</v>
      </c>
      <c r="DU96" s="4">
        <f t="shared" si="71"/>
        <v>0</v>
      </c>
      <c r="DV96" s="4">
        <f t="shared" si="71"/>
        <v>0</v>
      </c>
      <c r="DW96" s="4">
        <f t="shared" si="71"/>
        <v>0</v>
      </c>
      <c r="DX96" s="4">
        <f t="shared" si="71"/>
        <v>0</v>
      </c>
      <c r="DY96" s="4">
        <f t="shared" si="71"/>
        <v>0</v>
      </c>
      <c r="DZ96" s="4">
        <f t="shared" si="71"/>
        <v>0</v>
      </c>
      <c r="EA96" s="4">
        <f t="shared" si="71"/>
        <v>0</v>
      </c>
      <c r="EB96" s="4">
        <f t="shared" si="71"/>
        <v>0</v>
      </c>
      <c r="EC96" s="4">
        <f t="shared" si="71"/>
        <v>0</v>
      </c>
      <c r="ED96" s="4">
        <f t="shared" si="71"/>
        <v>0</v>
      </c>
      <c r="EE96" s="4">
        <f t="shared" si="71"/>
        <v>0</v>
      </c>
      <c r="EF96" s="4">
        <f t="shared" si="71"/>
        <v>0</v>
      </c>
      <c r="EG96" s="4">
        <f t="shared" si="71"/>
        <v>0</v>
      </c>
      <c r="EH96" s="4">
        <f t="shared" si="71"/>
        <v>0</v>
      </c>
      <c r="EI96" s="4">
        <f t="shared" si="71"/>
        <v>0</v>
      </c>
      <c r="EJ96" s="4">
        <f t="shared" si="71"/>
        <v>1676.64</v>
      </c>
      <c r="EK96" s="4">
        <f t="shared" si="71"/>
        <v>1676.64</v>
      </c>
      <c r="EL96" s="4">
        <f t="shared" si="71"/>
        <v>0</v>
      </c>
      <c r="EM96" s="4">
        <f aca="true" t="shared" si="72" ref="EM96:FR96">EM103</f>
        <v>0</v>
      </c>
      <c r="EN96" s="4">
        <f t="shared" si="72"/>
        <v>0</v>
      </c>
      <c r="EO96" s="4">
        <f t="shared" si="72"/>
        <v>0</v>
      </c>
      <c r="EP96" s="4">
        <f t="shared" si="72"/>
        <v>0</v>
      </c>
      <c r="EQ96" s="4">
        <f t="shared" si="72"/>
        <v>0</v>
      </c>
      <c r="ER96" s="4">
        <f t="shared" si="72"/>
        <v>0</v>
      </c>
      <c r="ES96" s="4">
        <f t="shared" si="72"/>
        <v>0</v>
      </c>
      <c r="ET96" s="4">
        <f t="shared" si="72"/>
        <v>0</v>
      </c>
      <c r="EU96" s="4">
        <f t="shared" si="72"/>
        <v>0</v>
      </c>
      <c r="EV96" s="4">
        <f t="shared" si="72"/>
        <v>1676.64</v>
      </c>
      <c r="EW96" s="4">
        <f t="shared" si="72"/>
        <v>0</v>
      </c>
      <c r="EX96" s="4">
        <f t="shared" si="72"/>
        <v>0</v>
      </c>
      <c r="EY96" s="4">
        <f t="shared" si="72"/>
        <v>0</v>
      </c>
      <c r="EZ96" s="4">
        <f t="shared" si="72"/>
        <v>0</v>
      </c>
      <c r="FA96" s="4">
        <f t="shared" si="72"/>
        <v>0</v>
      </c>
      <c r="FB96" s="4">
        <f t="shared" si="72"/>
        <v>0</v>
      </c>
      <c r="FC96" s="4">
        <f t="shared" si="72"/>
        <v>0</v>
      </c>
      <c r="FD96" s="4">
        <f t="shared" si="72"/>
        <v>0</v>
      </c>
      <c r="FE96" s="4">
        <f t="shared" si="72"/>
        <v>0</v>
      </c>
      <c r="FF96" s="4">
        <f t="shared" si="72"/>
        <v>0</v>
      </c>
      <c r="FG96" s="4">
        <f t="shared" si="72"/>
        <v>0</v>
      </c>
      <c r="FH96" s="4">
        <f t="shared" si="72"/>
        <v>0</v>
      </c>
      <c r="FI96" s="4">
        <f t="shared" si="72"/>
        <v>0</v>
      </c>
      <c r="FJ96" s="4">
        <f t="shared" si="72"/>
        <v>0</v>
      </c>
      <c r="FK96" s="4">
        <f t="shared" si="72"/>
        <v>0</v>
      </c>
      <c r="FL96" s="4">
        <f t="shared" si="72"/>
        <v>0</v>
      </c>
      <c r="FM96" s="4">
        <f t="shared" si="72"/>
        <v>0</v>
      </c>
      <c r="FN96" s="4">
        <f t="shared" si="72"/>
        <v>0</v>
      </c>
      <c r="FO96" s="4">
        <f t="shared" si="72"/>
        <v>0</v>
      </c>
      <c r="FP96" s="4">
        <f t="shared" si="72"/>
        <v>0</v>
      </c>
      <c r="FQ96" s="4">
        <f t="shared" si="72"/>
        <v>0</v>
      </c>
      <c r="FR96" s="4">
        <f t="shared" si="72"/>
        <v>0</v>
      </c>
      <c r="FS96" s="4">
        <f aca="true" t="shared" si="73" ref="FS96:GX96">FS103</f>
        <v>1676.64</v>
      </c>
      <c r="FT96" s="4">
        <f t="shared" si="73"/>
        <v>1676.64</v>
      </c>
      <c r="FU96" s="4">
        <f t="shared" si="73"/>
        <v>0</v>
      </c>
      <c r="FV96" s="4">
        <f t="shared" si="73"/>
        <v>0</v>
      </c>
      <c r="FW96" s="4">
        <f t="shared" si="73"/>
        <v>0</v>
      </c>
      <c r="FX96" s="4">
        <f t="shared" si="73"/>
        <v>0</v>
      </c>
      <c r="FY96" s="4">
        <f t="shared" si="73"/>
        <v>0</v>
      </c>
      <c r="FZ96" s="4">
        <f t="shared" si="73"/>
        <v>0</v>
      </c>
      <c r="GA96" s="4">
        <f t="shared" si="73"/>
        <v>0</v>
      </c>
      <c r="GB96" s="4">
        <f t="shared" si="73"/>
        <v>0</v>
      </c>
      <c r="GC96" s="4">
        <f t="shared" si="73"/>
        <v>0</v>
      </c>
      <c r="GD96" s="4">
        <f t="shared" si="73"/>
        <v>0</v>
      </c>
      <c r="GE96" s="4">
        <f t="shared" si="73"/>
        <v>1676.64</v>
      </c>
      <c r="GF96" s="4">
        <f t="shared" si="73"/>
        <v>0</v>
      </c>
      <c r="GG96" s="4">
        <f t="shared" si="73"/>
        <v>0</v>
      </c>
      <c r="GH96" s="4">
        <f t="shared" si="73"/>
        <v>0</v>
      </c>
      <c r="GI96" s="4">
        <f t="shared" si="73"/>
        <v>0</v>
      </c>
      <c r="GJ96" s="4">
        <f t="shared" si="73"/>
        <v>0</v>
      </c>
      <c r="GK96" s="4">
        <f t="shared" si="73"/>
        <v>0</v>
      </c>
      <c r="GL96" s="4">
        <f t="shared" si="73"/>
        <v>0</v>
      </c>
      <c r="GM96" s="4">
        <f t="shared" si="73"/>
        <v>0</v>
      </c>
      <c r="GN96" s="4">
        <f t="shared" si="73"/>
        <v>0</v>
      </c>
      <c r="GO96" s="4">
        <f t="shared" si="73"/>
        <v>0</v>
      </c>
      <c r="GP96" s="4">
        <f t="shared" si="73"/>
        <v>0</v>
      </c>
      <c r="GQ96" s="4">
        <f t="shared" si="73"/>
        <v>0</v>
      </c>
      <c r="GR96" s="4">
        <f t="shared" si="73"/>
        <v>0</v>
      </c>
      <c r="GS96" s="4">
        <f t="shared" si="73"/>
        <v>0</v>
      </c>
      <c r="GT96" s="4">
        <f t="shared" si="73"/>
        <v>0</v>
      </c>
      <c r="GU96" s="4">
        <f t="shared" si="73"/>
        <v>0</v>
      </c>
      <c r="GV96" s="4">
        <f t="shared" si="73"/>
        <v>0</v>
      </c>
      <c r="GW96" s="4">
        <f t="shared" si="73"/>
        <v>0</v>
      </c>
      <c r="GX96" s="4">
        <f t="shared" si="73"/>
        <v>0</v>
      </c>
    </row>
    <row r="98" spans="1:255" ht="12.75">
      <c r="A98" s="2">
        <v>17</v>
      </c>
      <c r="B98" s="2">
        <v>1</v>
      </c>
      <c r="C98" s="2">
        <f>ROW(SmtRes!A122)</f>
        <v>122</v>
      </c>
      <c r="D98" s="2"/>
      <c r="E98" s="2" t="s">
        <v>184</v>
      </c>
      <c r="F98" s="2" t="s">
        <v>185</v>
      </c>
      <c r="G98" s="2" t="s">
        <v>186</v>
      </c>
      <c r="H98" s="2" t="s">
        <v>187</v>
      </c>
      <c r="I98" s="2">
        <v>1.9</v>
      </c>
      <c r="J98" s="2">
        <v>0</v>
      </c>
      <c r="K98" s="2">
        <v>1.9</v>
      </c>
      <c r="L98" s="2"/>
      <c r="M98" s="2"/>
      <c r="N98" s="2"/>
      <c r="O98" s="2">
        <f>0</f>
        <v>0</v>
      </c>
      <c r="P98" s="2">
        <f>0</f>
        <v>0</v>
      </c>
      <c r="Q98" s="2">
        <f>0</f>
        <v>0</v>
      </c>
      <c r="R98" s="2">
        <f>0</f>
        <v>0</v>
      </c>
      <c r="S98" s="2">
        <f>0</f>
        <v>0</v>
      </c>
      <c r="T98" s="2">
        <f>0</f>
        <v>0</v>
      </c>
      <c r="U98" s="2">
        <f>0</f>
        <v>0</v>
      </c>
      <c r="V98" s="2">
        <f>0</f>
        <v>0</v>
      </c>
      <c r="W98" s="2">
        <f>0</f>
        <v>0</v>
      </c>
      <c r="X98" s="2">
        <f>0</f>
        <v>0</v>
      </c>
      <c r="Y98" s="2">
        <f>0</f>
        <v>0</v>
      </c>
      <c r="Z98" s="2"/>
      <c r="AA98" s="2">
        <v>55668703</v>
      </c>
      <c r="AB98" s="2">
        <f>ROUND((AK98),2)</f>
        <v>42.98</v>
      </c>
      <c r="AC98" s="2">
        <f>0</f>
        <v>0</v>
      </c>
      <c r="AD98" s="2">
        <f>0</f>
        <v>0</v>
      </c>
      <c r="AE98" s="2">
        <f>0</f>
        <v>0</v>
      </c>
      <c r="AF98" s="2">
        <f>0</f>
        <v>0</v>
      </c>
      <c r="AG98" s="2">
        <f>0</f>
        <v>0</v>
      </c>
      <c r="AH98" s="2">
        <f>0</f>
        <v>0</v>
      </c>
      <c r="AI98" s="2">
        <f>0</f>
        <v>0</v>
      </c>
      <c r="AJ98" s="2">
        <f>0</f>
        <v>0</v>
      </c>
      <c r="AK98" s="2">
        <v>42.98</v>
      </c>
      <c r="AL98" s="2">
        <v>0</v>
      </c>
      <c r="AM98" s="2">
        <v>0</v>
      </c>
      <c r="AN98" s="2">
        <v>0</v>
      </c>
      <c r="AO98" s="2">
        <v>0</v>
      </c>
      <c r="AP98" s="2">
        <v>0</v>
      </c>
      <c r="AQ98" s="2">
        <v>0</v>
      </c>
      <c r="AR98" s="2">
        <v>0</v>
      </c>
      <c r="AS98" s="2">
        <v>0</v>
      </c>
      <c r="AT98" s="2">
        <v>0</v>
      </c>
      <c r="AU98" s="2">
        <v>0</v>
      </c>
      <c r="AV98" s="2">
        <v>1</v>
      </c>
      <c r="AW98" s="2">
        <v>1</v>
      </c>
      <c r="AX98" s="2"/>
      <c r="AY98" s="2"/>
      <c r="AZ98" s="2">
        <v>1</v>
      </c>
      <c r="BA98" s="2">
        <v>1</v>
      </c>
      <c r="BB98" s="2">
        <v>1</v>
      </c>
      <c r="BC98" s="2">
        <v>1</v>
      </c>
      <c r="BD98" s="2" t="s">
        <v>3</v>
      </c>
      <c r="BE98" s="2" t="s">
        <v>3</v>
      </c>
      <c r="BF98" s="2" t="s">
        <v>3</v>
      </c>
      <c r="BG98" s="2" t="s">
        <v>3</v>
      </c>
      <c r="BH98" s="2">
        <v>0</v>
      </c>
      <c r="BI98" s="2">
        <v>1</v>
      </c>
      <c r="BJ98" s="2" t="s">
        <v>188</v>
      </c>
      <c r="BK98" s="2"/>
      <c r="BL98" s="2"/>
      <c r="BM98" s="2">
        <v>700004</v>
      </c>
      <c r="BN98" s="2">
        <v>0</v>
      </c>
      <c r="BO98" s="2" t="s">
        <v>3</v>
      </c>
      <c r="BP98" s="2">
        <v>0</v>
      </c>
      <c r="BQ98" s="2">
        <v>19</v>
      </c>
      <c r="BR98" s="2">
        <v>0</v>
      </c>
      <c r="BS98" s="2">
        <v>1</v>
      </c>
      <c r="BT98" s="2">
        <v>1</v>
      </c>
      <c r="BU98" s="2">
        <v>1</v>
      </c>
      <c r="BV98" s="2">
        <v>1</v>
      </c>
      <c r="BW98" s="2">
        <v>1</v>
      </c>
      <c r="BX98" s="2">
        <v>1</v>
      </c>
      <c r="BY98" s="2" t="s">
        <v>3</v>
      </c>
      <c r="BZ98" s="2">
        <v>0</v>
      </c>
      <c r="CA98" s="2">
        <v>0</v>
      </c>
      <c r="CB98" s="2" t="s">
        <v>3</v>
      </c>
      <c r="CC98" s="2"/>
      <c r="CD98" s="2"/>
      <c r="CE98" s="2">
        <v>0</v>
      </c>
      <c r="CF98" s="2">
        <v>0</v>
      </c>
      <c r="CG98" s="2">
        <v>0</v>
      </c>
      <c r="CH98" s="2"/>
      <c r="CI98" s="2"/>
      <c r="CJ98" s="2"/>
      <c r="CK98" s="2"/>
      <c r="CL98" s="2"/>
      <c r="CM98" s="2">
        <v>0</v>
      </c>
      <c r="CN98" s="2" t="s">
        <v>3</v>
      </c>
      <c r="CO98" s="2">
        <v>0</v>
      </c>
      <c r="CP98" s="2">
        <f>AB98*AZ98</f>
        <v>42.98</v>
      </c>
      <c r="CQ98" s="2">
        <v>0</v>
      </c>
      <c r="CR98" s="2">
        <v>0</v>
      </c>
      <c r="CS98" s="2">
        <v>0</v>
      </c>
      <c r="CT98" s="2">
        <v>0</v>
      </c>
      <c r="CU98" s="2">
        <v>0</v>
      </c>
      <c r="CV98" s="2">
        <v>0</v>
      </c>
      <c r="CW98" s="2">
        <v>0</v>
      </c>
      <c r="CX98" s="2">
        <v>0</v>
      </c>
      <c r="CY98" s="2">
        <v>0</v>
      </c>
      <c r="CZ98" s="2">
        <v>0</v>
      </c>
      <c r="DA98" s="2"/>
      <c r="DB98" s="2"/>
      <c r="DC98" s="2" t="s">
        <v>3</v>
      </c>
      <c r="DD98" s="2" t="s">
        <v>3</v>
      </c>
      <c r="DE98" s="2" t="s">
        <v>3</v>
      </c>
      <c r="DF98" s="2" t="s">
        <v>3</v>
      </c>
      <c r="DG98" s="2" t="s">
        <v>3</v>
      </c>
      <c r="DH98" s="2" t="s">
        <v>3</v>
      </c>
      <c r="DI98" s="2" t="s">
        <v>3</v>
      </c>
      <c r="DJ98" s="2" t="s">
        <v>3</v>
      </c>
      <c r="DK98" s="2" t="s">
        <v>3</v>
      </c>
      <c r="DL98" s="2" t="s">
        <v>3</v>
      </c>
      <c r="DM98" s="2" t="s">
        <v>3</v>
      </c>
      <c r="DN98" s="2">
        <v>0</v>
      </c>
      <c r="DO98" s="2">
        <v>0</v>
      </c>
      <c r="DP98" s="2">
        <v>1</v>
      </c>
      <c r="DQ98" s="2">
        <v>1</v>
      </c>
      <c r="DR98" s="2"/>
      <c r="DS98" s="2"/>
      <c r="DT98" s="2"/>
      <c r="DU98" s="2">
        <v>1013</v>
      </c>
      <c r="DV98" s="2" t="s">
        <v>187</v>
      </c>
      <c r="DW98" s="2" t="s">
        <v>187</v>
      </c>
      <c r="DX98" s="2">
        <v>1</v>
      </c>
      <c r="DY98" s="2"/>
      <c r="DZ98" s="2" t="s">
        <v>3</v>
      </c>
      <c r="EA98" s="2" t="s">
        <v>3</v>
      </c>
      <c r="EB98" s="2" t="s">
        <v>3</v>
      </c>
      <c r="EC98" s="2" t="s">
        <v>3</v>
      </c>
      <c r="ED98" s="2"/>
      <c r="EE98" s="2">
        <v>55471915</v>
      </c>
      <c r="EF98" s="2">
        <v>19</v>
      </c>
      <c r="EG98" s="2" t="s">
        <v>189</v>
      </c>
      <c r="EH98" s="2">
        <v>106</v>
      </c>
      <c r="EI98" s="2" t="s">
        <v>189</v>
      </c>
      <c r="EJ98" s="2">
        <v>1</v>
      </c>
      <c r="EK98" s="2">
        <v>700004</v>
      </c>
      <c r="EL98" s="2" t="s">
        <v>189</v>
      </c>
      <c r="EM98" s="2" t="s">
        <v>190</v>
      </c>
      <c r="EN98" s="2"/>
      <c r="EO98" s="2" t="s">
        <v>3</v>
      </c>
      <c r="EP98" s="2"/>
      <c r="EQ98" s="2">
        <v>0</v>
      </c>
      <c r="ER98" s="2">
        <v>0</v>
      </c>
      <c r="ES98" s="2">
        <v>0</v>
      </c>
      <c r="ET98" s="2">
        <v>0</v>
      </c>
      <c r="EU98" s="2">
        <v>0</v>
      </c>
      <c r="EV98" s="2">
        <v>0</v>
      </c>
      <c r="EW98" s="2">
        <v>0</v>
      </c>
      <c r="EX98" s="2">
        <v>0</v>
      </c>
      <c r="EY98" s="2">
        <v>0</v>
      </c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>
        <v>0</v>
      </c>
      <c r="FR98" s="2">
        <f>ROUND(IF(AND(BH98=3,BI98=3),P98,0),2)</f>
        <v>0</v>
      </c>
      <c r="FS98" s="2">
        <v>0</v>
      </c>
      <c r="FT98" s="2"/>
      <c r="FU98" s="2"/>
      <c r="FV98" s="2"/>
      <c r="FW98" s="2"/>
      <c r="FX98" s="2">
        <v>0</v>
      </c>
      <c r="FY98" s="2">
        <v>0</v>
      </c>
      <c r="FZ98" s="2"/>
      <c r="GA98" s="2" t="s">
        <v>3</v>
      </c>
      <c r="GB98" s="2"/>
      <c r="GC98" s="2"/>
      <c r="GD98" s="2">
        <v>1</v>
      </c>
      <c r="GE98" s="2"/>
      <c r="GF98" s="2">
        <v>1276011705</v>
      </c>
      <c r="GG98" s="2">
        <v>2</v>
      </c>
      <c r="GH98" s="2">
        <v>1</v>
      </c>
      <c r="GI98" s="2">
        <v>-2</v>
      </c>
      <c r="GJ98" s="2">
        <v>2</v>
      </c>
      <c r="GK98" s="2">
        <v>0</v>
      </c>
      <c r="GL98" s="2">
        <f>ROUND(IF(AND(BH98=3,BI98=3,FS98&lt;&gt;0),P98,0),2)</f>
        <v>0</v>
      </c>
      <c r="GM98" s="2">
        <f>ROUND(CP98*I98,2)</f>
        <v>81.66</v>
      </c>
      <c r="GN98" s="2">
        <f>IF(OR(BI98=0,BI98=1),ROUND(CP98*I98,2),0)</f>
        <v>81.66</v>
      </c>
      <c r="GO98" s="2">
        <f>IF(BI98=2,ROUND(CP98*I98,2),0)</f>
        <v>0</v>
      </c>
      <c r="GP98" s="2">
        <f>IF(BI98=4,ROUND(CP98*I98,2)+GX98,0)</f>
        <v>0</v>
      </c>
      <c r="GQ98" s="2"/>
      <c r="GR98" s="2">
        <v>0</v>
      </c>
      <c r="GS98" s="2">
        <v>3</v>
      </c>
      <c r="GT98" s="2">
        <v>0</v>
      </c>
      <c r="GU98" s="2" t="s">
        <v>3</v>
      </c>
      <c r="GV98" s="2">
        <f>0</f>
        <v>0</v>
      </c>
      <c r="GW98" s="2">
        <v>1</v>
      </c>
      <c r="GX98" s="2">
        <f>0</f>
        <v>0</v>
      </c>
      <c r="GY98" s="2"/>
      <c r="GZ98" s="2"/>
      <c r="HA98" s="2">
        <v>0</v>
      </c>
      <c r="HB98" s="2">
        <v>0</v>
      </c>
      <c r="HC98" s="2">
        <v>0</v>
      </c>
      <c r="HD98" s="2">
        <f>GM98</f>
        <v>81.66</v>
      </c>
      <c r="HE98" s="2" t="s">
        <v>3</v>
      </c>
      <c r="HF98" s="2" t="s">
        <v>3</v>
      </c>
      <c r="HG98" s="2"/>
      <c r="HH98" s="2"/>
      <c r="HI98" s="2"/>
      <c r="HJ98" s="2"/>
      <c r="HK98" s="2"/>
      <c r="HL98" s="2"/>
      <c r="HM98" s="2" t="s">
        <v>3</v>
      </c>
      <c r="HN98" s="2" t="s">
        <v>3</v>
      </c>
      <c r="HO98" s="2" t="s">
        <v>3</v>
      </c>
      <c r="HP98" s="2" t="s">
        <v>3</v>
      </c>
      <c r="HQ98" s="2" t="s">
        <v>3</v>
      </c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>
        <v>0</v>
      </c>
      <c r="IL98" s="2"/>
      <c r="IM98" s="2"/>
      <c r="IN98" s="2"/>
      <c r="IO98" s="2"/>
      <c r="IP98" s="2"/>
      <c r="IQ98" s="2"/>
      <c r="IR98" s="2"/>
      <c r="IS98" s="2"/>
      <c r="IT98" s="2"/>
      <c r="IU98" s="2"/>
    </row>
    <row r="99" spans="1:245" ht="12.75">
      <c r="A99">
        <v>17</v>
      </c>
      <c r="B99">
        <v>1</v>
      </c>
      <c r="C99">
        <f>ROW(SmtRes!A124)</f>
        <v>124</v>
      </c>
      <c r="E99" t="s">
        <v>184</v>
      </c>
      <c r="F99" t="s">
        <v>185</v>
      </c>
      <c r="G99" t="s">
        <v>186</v>
      </c>
      <c r="H99" t="s">
        <v>187</v>
      </c>
      <c r="I99">
        <v>1.9</v>
      </c>
      <c r="J99">
        <v>0</v>
      </c>
      <c r="K99">
        <v>1.9</v>
      </c>
      <c r="O99">
        <f>0</f>
        <v>0</v>
      </c>
      <c r="P99">
        <f>0</f>
        <v>0</v>
      </c>
      <c r="Q99">
        <f>0</f>
        <v>0</v>
      </c>
      <c r="R99">
        <f>0</f>
        <v>0</v>
      </c>
      <c r="S99">
        <f>0</f>
        <v>0</v>
      </c>
      <c r="T99">
        <f>0</f>
        <v>0</v>
      </c>
      <c r="U99">
        <f>0</f>
        <v>0</v>
      </c>
      <c r="V99">
        <f>0</f>
        <v>0</v>
      </c>
      <c r="W99">
        <f>0</f>
        <v>0</v>
      </c>
      <c r="X99">
        <f>0</f>
        <v>0</v>
      </c>
      <c r="Y99">
        <f>0</f>
        <v>0</v>
      </c>
      <c r="AA99">
        <v>55668704</v>
      </c>
      <c r="AB99">
        <f>ROUND((AK99),2)</f>
        <v>42.98</v>
      </c>
      <c r="AC99">
        <f>0</f>
        <v>0</v>
      </c>
      <c r="AD99">
        <f>0</f>
        <v>0</v>
      </c>
      <c r="AE99">
        <f>0</f>
        <v>0</v>
      </c>
      <c r="AF99">
        <f>0</f>
        <v>0</v>
      </c>
      <c r="AG99">
        <f>0</f>
        <v>0</v>
      </c>
      <c r="AH99">
        <f>0</f>
        <v>0</v>
      </c>
      <c r="AI99">
        <f>0</f>
        <v>0</v>
      </c>
      <c r="AJ99">
        <f>0</f>
        <v>0</v>
      </c>
      <c r="AK99">
        <v>42.98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0</v>
      </c>
      <c r="AT99">
        <v>0</v>
      </c>
      <c r="AU99">
        <v>0</v>
      </c>
      <c r="AV99">
        <v>1</v>
      </c>
      <c r="AW99">
        <v>1</v>
      </c>
      <c r="AZ99">
        <v>13.24</v>
      </c>
      <c r="BA99">
        <v>1</v>
      </c>
      <c r="BB99">
        <v>1</v>
      </c>
      <c r="BC99">
        <v>1</v>
      </c>
      <c r="BH99">
        <v>0</v>
      </c>
      <c r="BI99">
        <v>1</v>
      </c>
      <c r="BJ99" t="s">
        <v>188</v>
      </c>
      <c r="BM99">
        <v>700004</v>
      </c>
      <c r="BN99">
        <v>0</v>
      </c>
      <c r="BO99" t="s">
        <v>37</v>
      </c>
      <c r="BP99">
        <v>1</v>
      </c>
      <c r="BQ99">
        <v>19</v>
      </c>
      <c r="BR99">
        <v>0</v>
      </c>
      <c r="BS99">
        <v>1</v>
      </c>
      <c r="BT99">
        <v>1</v>
      </c>
      <c r="BU99">
        <v>1</v>
      </c>
      <c r="BV99">
        <v>1</v>
      </c>
      <c r="BW99">
        <v>1</v>
      </c>
      <c r="BX99">
        <v>1</v>
      </c>
      <c r="BZ99">
        <v>0</v>
      </c>
      <c r="CA99">
        <v>0</v>
      </c>
      <c r="CE99">
        <v>0</v>
      </c>
      <c r="CF99">
        <v>0</v>
      </c>
      <c r="CG99">
        <v>0</v>
      </c>
      <c r="CM99">
        <v>0</v>
      </c>
      <c r="CO99">
        <v>0</v>
      </c>
      <c r="CP99">
        <f>AB99*AZ99</f>
        <v>569.0552</v>
      </c>
      <c r="CQ99">
        <v>0</v>
      </c>
      <c r="CR99">
        <v>0</v>
      </c>
      <c r="CS99">
        <v>0</v>
      </c>
      <c r="CT99">
        <v>0</v>
      </c>
      <c r="CU99">
        <v>0</v>
      </c>
      <c r="CV99">
        <v>0</v>
      </c>
      <c r="CW99">
        <v>0</v>
      </c>
      <c r="CX99">
        <v>0</v>
      </c>
      <c r="CY99">
        <v>0</v>
      </c>
      <c r="CZ99">
        <v>0</v>
      </c>
      <c r="DN99">
        <v>0</v>
      </c>
      <c r="DO99">
        <v>0</v>
      </c>
      <c r="DP99">
        <v>1</v>
      </c>
      <c r="DQ99">
        <v>1</v>
      </c>
      <c r="DU99">
        <v>1013</v>
      </c>
      <c r="DV99" t="s">
        <v>187</v>
      </c>
      <c r="DW99" t="s">
        <v>187</v>
      </c>
      <c r="DX99">
        <v>1</v>
      </c>
      <c r="EE99">
        <v>55471915</v>
      </c>
      <c r="EF99">
        <v>19</v>
      </c>
      <c r="EG99" t="s">
        <v>189</v>
      </c>
      <c r="EH99">
        <v>106</v>
      </c>
      <c r="EI99" t="s">
        <v>189</v>
      </c>
      <c r="EJ99">
        <v>1</v>
      </c>
      <c r="EK99">
        <v>700004</v>
      </c>
      <c r="EL99" t="s">
        <v>189</v>
      </c>
      <c r="EM99" t="s">
        <v>190</v>
      </c>
      <c r="EQ99">
        <v>0</v>
      </c>
      <c r="ER99">
        <v>0</v>
      </c>
      <c r="ES99">
        <v>0</v>
      </c>
      <c r="ET99">
        <v>0</v>
      </c>
      <c r="EU99">
        <v>0</v>
      </c>
      <c r="EV99">
        <v>0</v>
      </c>
      <c r="EW99">
        <v>0</v>
      </c>
      <c r="EX99">
        <v>0</v>
      </c>
      <c r="EY99">
        <v>0</v>
      </c>
      <c r="FQ99">
        <v>0</v>
      </c>
      <c r="FR99">
        <f>ROUND(IF(AND(BH99=3,BI99=3),P99,0),2)</f>
        <v>0</v>
      </c>
      <c r="FS99">
        <v>0</v>
      </c>
      <c r="FX99">
        <v>0</v>
      </c>
      <c r="FY99">
        <v>0</v>
      </c>
      <c r="GD99">
        <v>1</v>
      </c>
      <c r="GF99">
        <v>1276011705</v>
      </c>
      <c r="GG99">
        <v>2</v>
      </c>
      <c r="GH99">
        <v>1</v>
      </c>
      <c r="GI99">
        <v>4</v>
      </c>
      <c r="GJ99">
        <v>2</v>
      </c>
      <c r="GK99">
        <v>0</v>
      </c>
      <c r="GL99">
        <f>ROUND(IF(AND(BH99=3,BI99=3,FS99&lt;&gt;0),P99,0),2)</f>
        <v>0</v>
      </c>
      <c r="GM99">
        <f>ROUND(CP99*I99,2)</f>
        <v>1081.2</v>
      </c>
      <c r="GN99">
        <f>IF(OR(BI99=0,BI99=1),ROUND(CP99*I99,2),0)</f>
        <v>1081.2</v>
      </c>
      <c r="GO99">
        <f>IF(BI99=2,ROUND(CP99*I99,2),0)</f>
        <v>0</v>
      </c>
      <c r="GP99">
        <f>IF(BI99=4,ROUND(CP99*I99,2)+GX99,0)</f>
        <v>0</v>
      </c>
      <c r="GR99">
        <v>0</v>
      </c>
      <c r="GS99">
        <v>0</v>
      </c>
      <c r="GT99">
        <v>0</v>
      </c>
      <c r="GV99">
        <f>0</f>
        <v>0</v>
      </c>
      <c r="GW99">
        <v>1</v>
      </c>
      <c r="GX99">
        <f>0</f>
        <v>0</v>
      </c>
      <c r="HA99">
        <v>0</v>
      </c>
      <c r="HB99">
        <v>0</v>
      </c>
      <c r="HC99">
        <v>0</v>
      </c>
      <c r="HD99">
        <f>GM99</f>
        <v>1081.2</v>
      </c>
      <c r="IK99">
        <v>0</v>
      </c>
    </row>
    <row r="100" spans="1:255" ht="12.75">
      <c r="A100" s="2">
        <v>17</v>
      </c>
      <c r="B100" s="2">
        <v>1</v>
      </c>
      <c r="C100" s="2"/>
      <c r="D100" s="2"/>
      <c r="E100" s="2" t="s">
        <v>191</v>
      </c>
      <c r="F100" s="2" t="s">
        <v>192</v>
      </c>
      <c r="G100" s="2" t="s">
        <v>193</v>
      </c>
      <c r="H100" s="2" t="s">
        <v>187</v>
      </c>
      <c r="I100" s="2">
        <v>1.9</v>
      </c>
      <c r="J100" s="2">
        <v>0</v>
      </c>
      <c r="K100" s="2">
        <v>1.9</v>
      </c>
      <c r="L100" s="2"/>
      <c r="M100" s="2"/>
      <c r="N100" s="2"/>
      <c r="O100" s="2">
        <f>0</f>
        <v>0</v>
      </c>
      <c r="P100" s="2">
        <f>0</f>
        <v>0</v>
      </c>
      <c r="Q100" s="2">
        <f>0</f>
        <v>0</v>
      </c>
      <c r="R100" s="2">
        <f>0</f>
        <v>0</v>
      </c>
      <c r="S100" s="2">
        <f>0</f>
        <v>0</v>
      </c>
      <c r="T100" s="2">
        <f>0</f>
        <v>0</v>
      </c>
      <c r="U100" s="2">
        <f>0</f>
        <v>0</v>
      </c>
      <c r="V100" s="2">
        <f>0</f>
        <v>0</v>
      </c>
      <c r="W100" s="2">
        <f>0</f>
        <v>0</v>
      </c>
      <c r="X100" s="2">
        <f>0</f>
        <v>0</v>
      </c>
      <c r="Y100" s="2">
        <f>0</f>
        <v>0</v>
      </c>
      <c r="Z100" s="2"/>
      <c r="AA100" s="2">
        <v>55668703</v>
      </c>
      <c r="AB100" s="2">
        <f>ROUND((AK100),2)</f>
        <v>23.67</v>
      </c>
      <c r="AC100" s="2">
        <f>0</f>
        <v>0</v>
      </c>
      <c r="AD100" s="2">
        <f>0</f>
        <v>0</v>
      </c>
      <c r="AE100" s="2">
        <f>0</f>
        <v>0</v>
      </c>
      <c r="AF100" s="2">
        <f>0</f>
        <v>0</v>
      </c>
      <c r="AG100" s="2">
        <f>0</f>
        <v>0</v>
      </c>
      <c r="AH100" s="2">
        <f>0</f>
        <v>0</v>
      </c>
      <c r="AI100" s="2">
        <f>0</f>
        <v>0</v>
      </c>
      <c r="AJ100" s="2">
        <f>0</f>
        <v>0</v>
      </c>
      <c r="AK100" s="2">
        <v>23.67</v>
      </c>
      <c r="AL100" s="2">
        <v>0</v>
      </c>
      <c r="AM100" s="2">
        <v>0</v>
      </c>
      <c r="AN100" s="2">
        <v>0</v>
      </c>
      <c r="AO100" s="2">
        <v>0</v>
      </c>
      <c r="AP100" s="2">
        <v>0</v>
      </c>
      <c r="AQ100" s="2">
        <v>0</v>
      </c>
      <c r="AR100" s="2">
        <v>0</v>
      </c>
      <c r="AS100" s="2">
        <v>0</v>
      </c>
      <c r="AT100" s="2">
        <v>0</v>
      </c>
      <c r="AU100" s="2">
        <v>0</v>
      </c>
      <c r="AV100" s="2">
        <v>1</v>
      </c>
      <c r="AW100" s="2">
        <v>1</v>
      </c>
      <c r="AX100" s="2"/>
      <c r="AY100" s="2"/>
      <c r="AZ100" s="2">
        <v>1</v>
      </c>
      <c r="BA100" s="2">
        <v>1</v>
      </c>
      <c r="BB100" s="2">
        <v>1</v>
      </c>
      <c r="BC100" s="2">
        <v>1</v>
      </c>
      <c r="BD100" s="2" t="s">
        <v>3</v>
      </c>
      <c r="BE100" s="2" t="s">
        <v>3</v>
      </c>
      <c r="BF100" s="2" t="s">
        <v>3</v>
      </c>
      <c r="BG100" s="2" t="s">
        <v>3</v>
      </c>
      <c r="BH100" s="2">
        <v>0</v>
      </c>
      <c r="BI100" s="2">
        <v>1</v>
      </c>
      <c r="BJ100" s="2" t="s">
        <v>194</v>
      </c>
      <c r="BK100" s="2"/>
      <c r="BL100" s="2"/>
      <c r="BM100" s="2">
        <v>700005</v>
      </c>
      <c r="BN100" s="2">
        <v>0</v>
      </c>
      <c r="BO100" s="2" t="s">
        <v>3</v>
      </c>
      <c r="BP100" s="2">
        <v>0</v>
      </c>
      <c r="BQ100" s="2">
        <v>10</v>
      </c>
      <c r="BR100" s="2">
        <v>0</v>
      </c>
      <c r="BS100" s="2">
        <v>1</v>
      </c>
      <c r="BT100" s="2">
        <v>1</v>
      </c>
      <c r="BU100" s="2">
        <v>1</v>
      </c>
      <c r="BV100" s="2">
        <v>1</v>
      </c>
      <c r="BW100" s="2">
        <v>1</v>
      </c>
      <c r="BX100" s="2">
        <v>1</v>
      </c>
      <c r="BY100" s="2" t="s">
        <v>3</v>
      </c>
      <c r="BZ100" s="2">
        <v>0</v>
      </c>
      <c r="CA100" s="2">
        <v>0</v>
      </c>
      <c r="CB100" s="2" t="s">
        <v>3</v>
      </c>
      <c r="CC100" s="2"/>
      <c r="CD100" s="2"/>
      <c r="CE100" s="2">
        <v>0</v>
      </c>
      <c r="CF100" s="2">
        <v>0</v>
      </c>
      <c r="CG100" s="2">
        <v>0</v>
      </c>
      <c r="CH100" s="2"/>
      <c r="CI100" s="2"/>
      <c r="CJ100" s="2"/>
      <c r="CK100" s="2"/>
      <c r="CL100" s="2"/>
      <c r="CM100" s="2">
        <v>0</v>
      </c>
      <c r="CN100" s="2" t="s">
        <v>3</v>
      </c>
      <c r="CO100" s="2">
        <v>0</v>
      </c>
      <c r="CP100" s="2">
        <f>AB100*AZ100</f>
        <v>23.67</v>
      </c>
      <c r="CQ100" s="2">
        <v>0</v>
      </c>
      <c r="CR100" s="2">
        <v>0</v>
      </c>
      <c r="CS100" s="2">
        <v>0</v>
      </c>
      <c r="CT100" s="2">
        <v>0</v>
      </c>
      <c r="CU100" s="2">
        <v>0</v>
      </c>
      <c r="CV100" s="2">
        <v>0</v>
      </c>
      <c r="CW100" s="2">
        <v>0</v>
      </c>
      <c r="CX100" s="2">
        <v>0</v>
      </c>
      <c r="CY100" s="2">
        <v>0</v>
      </c>
      <c r="CZ100" s="2">
        <v>0</v>
      </c>
      <c r="DA100" s="2"/>
      <c r="DB100" s="2"/>
      <c r="DC100" s="2" t="s">
        <v>3</v>
      </c>
      <c r="DD100" s="2" t="s">
        <v>3</v>
      </c>
      <c r="DE100" s="2" t="s">
        <v>3</v>
      </c>
      <c r="DF100" s="2" t="s">
        <v>3</v>
      </c>
      <c r="DG100" s="2" t="s">
        <v>3</v>
      </c>
      <c r="DH100" s="2" t="s">
        <v>3</v>
      </c>
      <c r="DI100" s="2" t="s">
        <v>3</v>
      </c>
      <c r="DJ100" s="2" t="s">
        <v>3</v>
      </c>
      <c r="DK100" s="2" t="s">
        <v>3</v>
      </c>
      <c r="DL100" s="2" t="s">
        <v>3</v>
      </c>
      <c r="DM100" s="2" t="s">
        <v>3</v>
      </c>
      <c r="DN100" s="2">
        <v>0</v>
      </c>
      <c r="DO100" s="2">
        <v>0</v>
      </c>
      <c r="DP100" s="2">
        <v>1</v>
      </c>
      <c r="DQ100" s="2">
        <v>1</v>
      </c>
      <c r="DR100" s="2"/>
      <c r="DS100" s="2"/>
      <c r="DT100" s="2"/>
      <c r="DU100" s="2">
        <v>1013</v>
      </c>
      <c r="DV100" s="2" t="s">
        <v>187</v>
      </c>
      <c r="DW100" s="2" t="s">
        <v>187</v>
      </c>
      <c r="DX100" s="2">
        <v>1</v>
      </c>
      <c r="DY100" s="2"/>
      <c r="DZ100" s="2" t="s">
        <v>3</v>
      </c>
      <c r="EA100" s="2" t="s">
        <v>3</v>
      </c>
      <c r="EB100" s="2" t="s">
        <v>3</v>
      </c>
      <c r="EC100" s="2" t="s">
        <v>3</v>
      </c>
      <c r="ED100" s="2"/>
      <c r="EE100" s="2">
        <v>55471919</v>
      </c>
      <c r="EF100" s="2">
        <v>10</v>
      </c>
      <c r="EG100" s="2" t="s">
        <v>195</v>
      </c>
      <c r="EH100" s="2">
        <v>107</v>
      </c>
      <c r="EI100" s="2" t="s">
        <v>196</v>
      </c>
      <c r="EJ100" s="2">
        <v>1</v>
      </c>
      <c r="EK100" s="2">
        <v>700005</v>
      </c>
      <c r="EL100" s="2" t="s">
        <v>196</v>
      </c>
      <c r="EM100" s="2" t="s">
        <v>197</v>
      </c>
      <c r="EN100" s="2"/>
      <c r="EO100" s="2" t="s">
        <v>3</v>
      </c>
      <c r="EP100" s="2"/>
      <c r="EQ100" s="2">
        <v>0</v>
      </c>
      <c r="ER100" s="2">
        <v>0</v>
      </c>
      <c r="ES100" s="2">
        <v>0</v>
      </c>
      <c r="ET100" s="2">
        <v>0</v>
      </c>
      <c r="EU100" s="2">
        <v>0</v>
      </c>
      <c r="EV100" s="2">
        <v>0</v>
      </c>
      <c r="EW100" s="2">
        <v>0</v>
      </c>
      <c r="EX100" s="2">
        <v>0</v>
      </c>
      <c r="EY100" s="2">
        <v>0</v>
      </c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>
        <v>0</v>
      </c>
      <c r="FR100" s="2">
        <f>ROUND(IF(AND(BH100=3,BI100=3),P100,0),2)</f>
        <v>0</v>
      </c>
      <c r="FS100" s="2">
        <v>0</v>
      </c>
      <c r="FT100" s="2"/>
      <c r="FU100" s="2"/>
      <c r="FV100" s="2"/>
      <c r="FW100" s="2"/>
      <c r="FX100" s="2">
        <v>0</v>
      </c>
      <c r="FY100" s="2">
        <v>0</v>
      </c>
      <c r="FZ100" s="2"/>
      <c r="GA100" s="2" t="s">
        <v>3</v>
      </c>
      <c r="GB100" s="2"/>
      <c r="GC100" s="2"/>
      <c r="GD100" s="2">
        <v>1</v>
      </c>
      <c r="GE100" s="2"/>
      <c r="GF100" s="2">
        <v>426931053</v>
      </c>
      <c r="GG100" s="2">
        <v>2</v>
      </c>
      <c r="GH100" s="2">
        <v>1</v>
      </c>
      <c r="GI100" s="2">
        <v>-2</v>
      </c>
      <c r="GJ100" s="2">
        <v>2</v>
      </c>
      <c r="GK100" s="2">
        <v>0</v>
      </c>
      <c r="GL100" s="2">
        <f>ROUND(IF(AND(BH100=3,BI100=3,FS100&lt;&gt;0),P100,0),2)</f>
        <v>0</v>
      </c>
      <c r="GM100" s="2">
        <f>ROUND(CP100*I100,2)</f>
        <v>44.97</v>
      </c>
      <c r="GN100" s="2">
        <f>IF(OR(BI100=0,BI100=1),ROUND(CP100*I100,2),0)</f>
        <v>44.97</v>
      </c>
      <c r="GO100" s="2">
        <f>IF(BI100=2,ROUND(CP100*I100,2),0)</f>
        <v>0</v>
      </c>
      <c r="GP100" s="2">
        <f>IF(BI100=4,ROUND(CP100*I100,2)+GX100,0)</f>
        <v>0</v>
      </c>
      <c r="GQ100" s="2"/>
      <c r="GR100" s="2">
        <v>0</v>
      </c>
      <c r="GS100" s="2">
        <v>3</v>
      </c>
      <c r="GT100" s="2">
        <v>0</v>
      </c>
      <c r="GU100" s="2" t="s">
        <v>3</v>
      </c>
      <c r="GV100" s="2">
        <f>0</f>
        <v>0</v>
      </c>
      <c r="GW100" s="2">
        <v>1</v>
      </c>
      <c r="GX100" s="2">
        <f>0</f>
        <v>0</v>
      </c>
      <c r="GY100" s="2"/>
      <c r="GZ100" s="2"/>
      <c r="HA100" s="2">
        <v>0</v>
      </c>
      <c r="HB100" s="2">
        <v>0</v>
      </c>
      <c r="HC100" s="2">
        <v>0</v>
      </c>
      <c r="HD100" s="2">
        <f>GM100</f>
        <v>44.97</v>
      </c>
      <c r="HE100" s="2" t="s">
        <v>3</v>
      </c>
      <c r="HF100" s="2" t="s">
        <v>3</v>
      </c>
      <c r="HG100" s="2"/>
      <c r="HH100" s="2"/>
      <c r="HI100" s="2"/>
      <c r="HJ100" s="2"/>
      <c r="HK100" s="2"/>
      <c r="HL100" s="2"/>
      <c r="HM100" s="2" t="s">
        <v>3</v>
      </c>
      <c r="HN100" s="2" t="s">
        <v>3</v>
      </c>
      <c r="HO100" s="2" t="s">
        <v>3</v>
      </c>
      <c r="HP100" s="2" t="s">
        <v>3</v>
      </c>
      <c r="HQ100" s="2" t="s">
        <v>3</v>
      </c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>
        <v>0</v>
      </c>
      <c r="IL100" s="2"/>
      <c r="IM100" s="2"/>
      <c r="IN100" s="2"/>
      <c r="IO100" s="2"/>
      <c r="IP100" s="2"/>
      <c r="IQ100" s="2"/>
      <c r="IR100" s="2"/>
      <c r="IS100" s="2"/>
      <c r="IT100" s="2"/>
      <c r="IU100" s="2"/>
    </row>
    <row r="101" spans="1:245" ht="12.75">
      <c r="A101">
        <v>17</v>
      </c>
      <c r="B101">
        <v>1</v>
      </c>
      <c r="E101" t="s">
        <v>191</v>
      </c>
      <c r="F101" t="s">
        <v>192</v>
      </c>
      <c r="G101" t="s">
        <v>193</v>
      </c>
      <c r="H101" t="s">
        <v>187</v>
      </c>
      <c r="I101">
        <v>1.9</v>
      </c>
      <c r="J101">
        <v>0</v>
      </c>
      <c r="K101">
        <v>1.9</v>
      </c>
      <c r="O101">
        <f>0</f>
        <v>0</v>
      </c>
      <c r="P101">
        <f>0</f>
        <v>0</v>
      </c>
      <c r="Q101">
        <f>0</f>
        <v>0</v>
      </c>
      <c r="R101">
        <f>0</f>
        <v>0</v>
      </c>
      <c r="S101">
        <f>0</f>
        <v>0</v>
      </c>
      <c r="T101">
        <f>0</f>
        <v>0</v>
      </c>
      <c r="U101">
        <f>0</f>
        <v>0</v>
      </c>
      <c r="V101">
        <f>0</f>
        <v>0</v>
      </c>
      <c r="W101">
        <f>0</f>
        <v>0</v>
      </c>
      <c r="X101">
        <f>0</f>
        <v>0</v>
      </c>
      <c r="Y101">
        <f>0</f>
        <v>0</v>
      </c>
      <c r="AA101">
        <v>55668704</v>
      </c>
      <c r="AB101">
        <f>ROUND((AK101),2)</f>
        <v>23.67</v>
      </c>
      <c r="AC101">
        <f>0</f>
        <v>0</v>
      </c>
      <c r="AD101">
        <f>0</f>
        <v>0</v>
      </c>
      <c r="AE101">
        <f>0</f>
        <v>0</v>
      </c>
      <c r="AF101">
        <f>0</f>
        <v>0</v>
      </c>
      <c r="AG101">
        <f>0</f>
        <v>0</v>
      </c>
      <c r="AH101">
        <f>0</f>
        <v>0</v>
      </c>
      <c r="AI101">
        <f>0</f>
        <v>0</v>
      </c>
      <c r="AJ101">
        <f>0</f>
        <v>0</v>
      </c>
      <c r="AK101">
        <v>23.67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  <c r="AS101">
        <v>0</v>
      </c>
      <c r="AT101">
        <v>0</v>
      </c>
      <c r="AU101">
        <v>0</v>
      </c>
      <c r="AV101">
        <v>1</v>
      </c>
      <c r="AW101">
        <v>1</v>
      </c>
      <c r="AZ101">
        <v>13.24</v>
      </c>
      <c r="BA101">
        <v>1</v>
      </c>
      <c r="BB101">
        <v>1</v>
      </c>
      <c r="BC101">
        <v>1</v>
      </c>
      <c r="BH101">
        <v>0</v>
      </c>
      <c r="BI101">
        <v>1</v>
      </c>
      <c r="BJ101" t="s">
        <v>194</v>
      </c>
      <c r="BM101">
        <v>700005</v>
      </c>
      <c r="BN101">
        <v>0</v>
      </c>
      <c r="BO101" t="s">
        <v>37</v>
      </c>
      <c r="BP101">
        <v>1</v>
      </c>
      <c r="BQ101">
        <v>10</v>
      </c>
      <c r="BR101">
        <v>0</v>
      </c>
      <c r="BS101">
        <v>1</v>
      </c>
      <c r="BT101">
        <v>1</v>
      </c>
      <c r="BU101">
        <v>1</v>
      </c>
      <c r="BV101">
        <v>1</v>
      </c>
      <c r="BW101">
        <v>1</v>
      </c>
      <c r="BX101">
        <v>1</v>
      </c>
      <c r="BZ101">
        <v>0</v>
      </c>
      <c r="CA101">
        <v>0</v>
      </c>
      <c r="CE101">
        <v>0</v>
      </c>
      <c r="CF101">
        <v>0</v>
      </c>
      <c r="CG101">
        <v>0</v>
      </c>
      <c r="CM101">
        <v>0</v>
      </c>
      <c r="CO101">
        <v>0</v>
      </c>
      <c r="CP101">
        <f>AB101*AZ101</f>
        <v>313.3908</v>
      </c>
      <c r="CQ101">
        <v>0</v>
      </c>
      <c r="CR101">
        <v>0</v>
      </c>
      <c r="CS101">
        <v>0</v>
      </c>
      <c r="CT101">
        <v>0</v>
      </c>
      <c r="CU101">
        <v>0</v>
      </c>
      <c r="CV101">
        <v>0</v>
      </c>
      <c r="CW101">
        <v>0</v>
      </c>
      <c r="CX101">
        <v>0</v>
      </c>
      <c r="CY101">
        <v>0</v>
      </c>
      <c r="CZ101">
        <v>0</v>
      </c>
      <c r="DN101">
        <v>0</v>
      </c>
      <c r="DO101">
        <v>0</v>
      </c>
      <c r="DP101">
        <v>1</v>
      </c>
      <c r="DQ101">
        <v>1</v>
      </c>
      <c r="DU101">
        <v>1013</v>
      </c>
      <c r="DV101" t="s">
        <v>187</v>
      </c>
      <c r="DW101" t="s">
        <v>187</v>
      </c>
      <c r="DX101">
        <v>1</v>
      </c>
      <c r="EE101">
        <v>55471919</v>
      </c>
      <c r="EF101">
        <v>10</v>
      </c>
      <c r="EG101" t="s">
        <v>195</v>
      </c>
      <c r="EH101">
        <v>107</v>
      </c>
      <c r="EI101" t="s">
        <v>196</v>
      </c>
      <c r="EJ101">
        <v>1</v>
      </c>
      <c r="EK101">
        <v>700005</v>
      </c>
      <c r="EL101" t="s">
        <v>196</v>
      </c>
      <c r="EM101" t="s">
        <v>197</v>
      </c>
      <c r="EQ101">
        <v>0</v>
      </c>
      <c r="ER101">
        <v>0</v>
      </c>
      <c r="ES101">
        <v>0</v>
      </c>
      <c r="ET101">
        <v>0</v>
      </c>
      <c r="EU101">
        <v>0</v>
      </c>
      <c r="EV101">
        <v>0</v>
      </c>
      <c r="EW101">
        <v>0</v>
      </c>
      <c r="EX101">
        <v>0</v>
      </c>
      <c r="EY101">
        <v>0</v>
      </c>
      <c r="FQ101">
        <v>0</v>
      </c>
      <c r="FR101">
        <f>ROUND(IF(AND(BH101=3,BI101=3),P101,0),2)</f>
        <v>0</v>
      </c>
      <c r="FS101">
        <v>0</v>
      </c>
      <c r="FX101">
        <v>0</v>
      </c>
      <c r="FY101">
        <v>0</v>
      </c>
      <c r="GD101">
        <v>1</v>
      </c>
      <c r="GF101">
        <v>426931053</v>
      </c>
      <c r="GG101">
        <v>2</v>
      </c>
      <c r="GH101">
        <v>1</v>
      </c>
      <c r="GI101">
        <v>4</v>
      </c>
      <c r="GJ101">
        <v>2</v>
      </c>
      <c r="GK101">
        <v>0</v>
      </c>
      <c r="GL101">
        <f>ROUND(IF(AND(BH101=3,BI101=3,FS101&lt;&gt;0),P101,0),2)</f>
        <v>0</v>
      </c>
      <c r="GM101">
        <f>ROUND(CP101*I101,2)</f>
        <v>595.44</v>
      </c>
      <c r="GN101">
        <f>IF(OR(BI101=0,BI101=1),ROUND(CP101*I101,2),0)</f>
        <v>595.44</v>
      </c>
      <c r="GO101">
        <f>IF(BI101=2,ROUND(CP101*I101,2),0)</f>
        <v>0</v>
      </c>
      <c r="GP101">
        <f>IF(BI101=4,ROUND(CP101*I101,2)+GX101,0)</f>
        <v>0</v>
      </c>
      <c r="GR101">
        <v>0</v>
      </c>
      <c r="GS101">
        <v>3</v>
      </c>
      <c r="GT101">
        <v>0</v>
      </c>
      <c r="GV101">
        <f>0</f>
        <v>0</v>
      </c>
      <c r="GW101">
        <v>1</v>
      </c>
      <c r="GX101">
        <f>0</f>
        <v>0</v>
      </c>
      <c r="HA101">
        <v>0</v>
      </c>
      <c r="HB101">
        <v>0</v>
      </c>
      <c r="HC101">
        <v>0</v>
      </c>
      <c r="HD101">
        <f>GM101</f>
        <v>595.44</v>
      </c>
      <c r="IK101">
        <v>0</v>
      </c>
    </row>
    <row r="103" spans="1:206" ht="12.75">
      <c r="A103" s="3">
        <v>51</v>
      </c>
      <c r="B103" s="3">
        <f>B94</f>
        <v>1</v>
      </c>
      <c r="C103" s="3">
        <f>A94</f>
        <v>4</v>
      </c>
      <c r="D103" s="3">
        <f>ROW(A94)</f>
        <v>94</v>
      </c>
      <c r="E103" s="3"/>
      <c r="F103" s="3" t="str">
        <f>IF(F94&lt;&gt;"",F94,"")</f>
        <v>Новый раздел</v>
      </c>
      <c r="G103" s="3" t="str">
        <f>IF(G94&lt;&gt;"",G94,"")</f>
        <v>Разные работы</v>
      </c>
      <c r="H103" s="3">
        <v>0</v>
      </c>
      <c r="I103" s="3"/>
      <c r="J103" s="3"/>
      <c r="K103" s="3"/>
      <c r="L103" s="3"/>
      <c r="M103" s="3"/>
      <c r="N103" s="3"/>
      <c r="O103" s="3">
        <f aca="true" t="shared" si="74" ref="O103:T103">ROUND(AB103,2)</f>
        <v>0</v>
      </c>
      <c r="P103" s="3">
        <f t="shared" si="74"/>
        <v>0</v>
      </c>
      <c r="Q103" s="3">
        <f t="shared" si="74"/>
        <v>0</v>
      </c>
      <c r="R103" s="3">
        <f t="shared" si="74"/>
        <v>0</v>
      </c>
      <c r="S103" s="3">
        <f t="shared" si="74"/>
        <v>0</v>
      </c>
      <c r="T103" s="3">
        <f t="shared" si="74"/>
        <v>0</v>
      </c>
      <c r="U103" s="3">
        <f>AH103</f>
        <v>0</v>
      </c>
      <c r="V103" s="3">
        <f>AI103</f>
        <v>0</v>
      </c>
      <c r="W103" s="3">
        <f>ROUND(AJ103,2)</f>
        <v>0</v>
      </c>
      <c r="X103" s="3">
        <f>ROUND(AK103,2)</f>
        <v>0</v>
      </c>
      <c r="Y103" s="3">
        <f>ROUND(AL103,2)</f>
        <v>0</v>
      </c>
      <c r="Z103" s="3"/>
      <c r="AA103" s="3"/>
      <c r="AB103" s="3">
        <f>ROUND(SUMIF(AA98:AA101,"=55668703",O98:O101),2)</f>
        <v>0</v>
      </c>
      <c r="AC103" s="3">
        <f>ROUND(SUMIF(AA98:AA101,"=55668703",P98:P101),2)</f>
        <v>0</v>
      </c>
      <c r="AD103" s="3">
        <f>ROUND(SUMIF(AA98:AA101,"=55668703",Q98:Q101),2)</f>
        <v>0</v>
      </c>
      <c r="AE103" s="3">
        <f>ROUND(SUMIF(AA98:AA101,"=55668703",R98:R101),2)</f>
        <v>0</v>
      </c>
      <c r="AF103" s="3">
        <f>ROUND(SUMIF(AA98:AA101,"=55668703",S98:S101),2)</f>
        <v>0</v>
      </c>
      <c r="AG103" s="3">
        <f>ROUND(SUMIF(AA98:AA101,"=55668703",T98:T101),2)</f>
        <v>0</v>
      </c>
      <c r="AH103" s="3">
        <f>SUMIF(AA98:AA101,"=55668703",U98:U101)</f>
        <v>0</v>
      </c>
      <c r="AI103" s="3">
        <f>SUMIF(AA98:AA101,"=55668703",V98:V101)</f>
        <v>0</v>
      </c>
      <c r="AJ103" s="3">
        <f>ROUND(SUMIF(AA98:AA101,"=55668703",W98:W101),2)</f>
        <v>0</v>
      </c>
      <c r="AK103" s="3">
        <f>ROUND(SUMIF(AA98:AA101,"=55668703",X98:X101),2)</f>
        <v>0</v>
      </c>
      <c r="AL103" s="3">
        <f>ROUND(SUMIF(AA98:AA101,"=55668703",Y98:Y101),2)</f>
        <v>0</v>
      </c>
      <c r="AM103" s="3"/>
      <c r="AN103" s="3"/>
      <c r="AO103" s="3">
        <f aca="true" t="shared" si="75" ref="AO103:BD103">ROUND(BX103,2)</f>
        <v>0</v>
      </c>
      <c r="AP103" s="3">
        <f t="shared" si="75"/>
        <v>0</v>
      </c>
      <c r="AQ103" s="3">
        <f t="shared" si="75"/>
        <v>0</v>
      </c>
      <c r="AR103" s="3">
        <f t="shared" si="75"/>
        <v>126.63</v>
      </c>
      <c r="AS103" s="3">
        <f t="shared" si="75"/>
        <v>126.63</v>
      </c>
      <c r="AT103" s="3">
        <f t="shared" si="75"/>
        <v>0</v>
      </c>
      <c r="AU103" s="3">
        <f t="shared" si="75"/>
        <v>0</v>
      </c>
      <c r="AV103" s="3">
        <f t="shared" si="75"/>
        <v>0</v>
      </c>
      <c r="AW103" s="3">
        <f t="shared" si="75"/>
        <v>0</v>
      </c>
      <c r="AX103" s="3">
        <f t="shared" si="75"/>
        <v>0</v>
      </c>
      <c r="AY103" s="3">
        <f t="shared" si="75"/>
        <v>0</v>
      </c>
      <c r="AZ103" s="3">
        <f t="shared" si="75"/>
        <v>0</v>
      </c>
      <c r="BA103" s="3">
        <f t="shared" si="75"/>
        <v>0</v>
      </c>
      <c r="BB103" s="3">
        <f t="shared" si="75"/>
        <v>0</v>
      </c>
      <c r="BC103" s="3">
        <f t="shared" si="75"/>
        <v>0</v>
      </c>
      <c r="BD103" s="3">
        <f t="shared" si="75"/>
        <v>126.63</v>
      </c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>
        <f>ROUND(SUMIF(AA98:AA101,"=55668703",FQ98:FQ101),2)</f>
        <v>0</v>
      </c>
      <c r="BY103" s="3">
        <f>ROUND(SUMIF(AA98:AA101,"=55668703",FR98:FR101),2)</f>
        <v>0</v>
      </c>
      <c r="BZ103" s="3">
        <f>ROUND(SUMIF(AA98:AA101,"=55668703",GL98:GL101),2)</f>
        <v>0</v>
      </c>
      <c r="CA103" s="3">
        <f>ROUND(SUMIF(AA98:AA101,"=55668703",GM98:GM101),2)</f>
        <v>126.63</v>
      </c>
      <c r="CB103" s="3">
        <f>ROUND(SUMIF(AA98:AA101,"=55668703",GN98:GN101),2)</f>
        <v>126.63</v>
      </c>
      <c r="CC103" s="3">
        <f>ROUND(SUMIF(AA98:AA101,"=55668703",GO98:GO101),2)</f>
        <v>0</v>
      </c>
      <c r="CD103" s="3">
        <f>ROUND(SUMIF(AA98:AA101,"=55668703",GP98:GP101),2)</f>
        <v>0</v>
      </c>
      <c r="CE103" s="3">
        <f>AC103-BX103</f>
        <v>0</v>
      </c>
      <c r="CF103" s="3">
        <f>AC103-BY103</f>
        <v>0</v>
      </c>
      <c r="CG103" s="3">
        <f>BX103-BZ103</f>
        <v>0</v>
      </c>
      <c r="CH103" s="3">
        <f>AC103-BX103-BY103+BZ103</f>
        <v>0</v>
      </c>
      <c r="CI103" s="3">
        <f>BY103-BZ103</f>
        <v>0</v>
      </c>
      <c r="CJ103" s="3">
        <f>ROUND(SUMIF(AA98:AA101,"=55668703",GX98:GX101),2)</f>
        <v>0</v>
      </c>
      <c r="CK103" s="3">
        <f>ROUND(SUMIF(AA98:AA101,"=55668703",GY98:GY101),2)</f>
        <v>0</v>
      </c>
      <c r="CL103" s="3">
        <f>ROUND(SUMIF(AA98:AA101,"=55668703",GZ98:GZ101),2)</f>
        <v>0</v>
      </c>
      <c r="CM103" s="3">
        <f>ROUND(SUMIF(AA98:AA101,"=55668703",HD98:HD101),2)</f>
        <v>126.63</v>
      </c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4">
        <f aca="true" t="shared" si="76" ref="DG103:DL103">ROUND(DT103,2)</f>
        <v>0</v>
      </c>
      <c r="DH103" s="4">
        <f t="shared" si="76"/>
        <v>0</v>
      </c>
      <c r="DI103" s="4">
        <f t="shared" si="76"/>
        <v>0</v>
      </c>
      <c r="DJ103" s="4">
        <f t="shared" si="76"/>
        <v>0</v>
      </c>
      <c r="DK103" s="4">
        <f t="shared" si="76"/>
        <v>0</v>
      </c>
      <c r="DL103" s="4">
        <f t="shared" si="76"/>
        <v>0</v>
      </c>
      <c r="DM103" s="4">
        <f>DZ103</f>
        <v>0</v>
      </c>
      <c r="DN103" s="4">
        <f>EA103</f>
        <v>0</v>
      </c>
      <c r="DO103" s="4">
        <f>ROUND(EB103,2)</f>
        <v>0</v>
      </c>
      <c r="DP103" s="4">
        <f>ROUND(EC103,2)</f>
        <v>0</v>
      </c>
      <c r="DQ103" s="4">
        <f>ROUND(ED103,2)</f>
        <v>0</v>
      </c>
      <c r="DR103" s="4"/>
      <c r="DS103" s="4"/>
      <c r="DT103" s="4">
        <f>ROUND(SUMIF(AA98:AA101,"=55668704",O98:O101),2)</f>
        <v>0</v>
      </c>
      <c r="DU103" s="4">
        <f>ROUND(SUMIF(AA98:AA101,"=55668704",P98:P101),2)</f>
        <v>0</v>
      </c>
      <c r="DV103" s="4">
        <f>ROUND(SUMIF(AA98:AA101,"=55668704",Q98:Q101),2)</f>
        <v>0</v>
      </c>
      <c r="DW103" s="4">
        <f>ROUND(SUMIF(AA98:AA101,"=55668704",R98:R101),2)</f>
        <v>0</v>
      </c>
      <c r="DX103" s="4">
        <f>ROUND(SUMIF(AA98:AA101,"=55668704",S98:S101),2)</f>
        <v>0</v>
      </c>
      <c r="DY103" s="4">
        <f>ROUND(SUMIF(AA98:AA101,"=55668704",T98:T101),2)</f>
        <v>0</v>
      </c>
      <c r="DZ103" s="4">
        <f>SUMIF(AA98:AA101,"=55668704",U98:U101)</f>
        <v>0</v>
      </c>
      <c r="EA103" s="4">
        <f>SUMIF(AA98:AA101,"=55668704",V98:V101)</f>
        <v>0</v>
      </c>
      <c r="EB103" s="4">
        <f>ROUND(SUMIF(AA98:AA101,"=55668704",W98:W101),2)</f>
        <v>0</v>
      </c>
      <c r="EC103" s="4">
        <f>ROUND(SUMIF(AA98:AA101,"=55668704",X98:X101),2)</f>
        <v>0</v>
      </c>
      <c r="ED103" s="4">
        <f>ROUND(SUMIF(AA98:AA101,"=55668704",Y98:Y101),2)</f>
        <v>0</v>
      </c>
      <c r="EE103" s="4"/>
      <c r="EF103" s="4"/>
      <c r="EG103" s="4">
        <f aca="true" t="shared" si="77" ref="EG103:EV103">ROUND(FP103,2)</f>
        <v>0</v>
      </c>
      <c r="EH103" s="4">
        <f t="shared" si="77"/>
        <v>0</v>
      </c>
      <c r="EI103" s="4">
        <f t="shared" si="77"/>
        <v>0</v>
      </c>
      <c r="EJ103" s="4">
        <f t="shared" si="77"/>
        <v>1676.64</v>
      </c>
      <c r="EK103" s="4">
        <f t="shared" si="77"/>
        <v>1676.64</v>
      </c>
      <c r="EL103" s="4">
        <f t="shared" si="77"/>
        <v>0</v>
      </c>
      <c r="EM103" s="4">
        <f t="shared" si="77"/>
        <v>0</v>
      </c>
      <c r="EN103" s="4">
        <f t="shared" si="77"/>
        <v>0</v>
      </c>
      <c r="EO103" s="4">
        <f t="shared" si="77"/>
        <v>0</v>
      </c>
      <c r="EP103" s="4">
        <f t="shared" si="77"/>
        <v>0</v>
      </c>
      <c r="EQ103" s="4">
        <f t="shared" si="77"/>
        <v>0</v>
      </c>
      <c r="ER103" s="4">
        <f t="shared" si="77"/>
        <v>0</v>
      </c>
      <c r="ES103" s="4">
        <f t="shared" si="77"/>
        <v>0</v>
      </c>
      <c r="ET103" s="4">
        <f t="shared" si="77"/>
        <v>0</v>
      </c>
      <c r="EU103" s="4">
        <f t="shared" si="77"/>
        <v>0</v>
      </c>
      <c r="EV103" s="4">
        <f t="shared" si="77"/>
        <v>1676.64</v>
      </c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>
        <f>ROUND(SUMIF(AA98:AA101,"=55668704",FQ98:FQ101),2)</f>
        <v>0</v>
      </c>
      <c r="FQ103" s="4">
        <f>ROUND(SUMIF(AA98:AA101,"=55668704",FR98:FR101),2)</f>
        <v>0</v>
      </c>
      <c r="FR103" s="4">
        <f>ROUND(SUMIF(AA98:AA101,"=55668704",GL98:GL101),2)</f>
        <v>0</v>
      </c>
      <c r="FS103" s="4">
        <f>ROUND(SUMIF(AA98:AA101,"=55668704",GM98:GM101),2)</f>
        <v>1676.64</v>
      </c>
      <c r="FT103" s="4">
        <f>ROUND(SUMIF(AA98:AA101,"=55668704",GN98:GN101),2)</f>
        <v>1676.64</v>
      </c>
      <c r="FU103" s="4">
        <f>ROUND(SUMIF(AA98:AA101,"=55668704",GO98:GO101),2)</f>
        <v>0</v>
      </c>
      <c r="FV103" s="4">
        <f>ROUND(SUMIF(AA98:AA101,"=55668704",GP98:GP101),2)</f>
        <v>0</v>
      </c>
      <c r="FW103" s="4">
        <f>DU103-FP103</f>
        <v>0</v>
      </c>
      <c r="FX103" s="4">
        <f>DU103-FQ103</f>
        <v>0</v>
      </c>
      <c r="FY103" s="4">
        <f>FP103-FR103</f>
        <v>0</v>
      </c>
      <c r="FZ103" s="4">
        <f>DU103-FP103-FQ103+FR103</f>
        <v>0</v>
      </c>
      <c r="GA103" s="4">
        <f>FQ103-FR103</f>
        <v>0</v>
      </c>
      <c r="GB103" s="4">
        <f>ROUND(SUMIF(AA98:AA101,"=55668704",GX98:GX101),2)</f>
        <v>0</v>
      </c>
      <c r="GC103" s="4">
        <f>ROUND(SUMIF(AA98:AA101,"=55668704",GY98:GY101),2)</f>
        <v>0</v>
      </c>
      <c r="GD103" s="4">
        <f>ROUND(SUMIF(AA98:AA101,"=55668704",GZ98:GZ101),2)</f>
        <v>0</v>
      </c>
      <c r="GE103" s="4">
        <f>ROUND(SUMIF(AA98:AA101,"=55668704",HD98:HD101),2)</f>
        <v>1676.64</v>
      </c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>
        <v>0</v>
      </c>
    </row>
    <row r="105" spans="1:28" ht="12.75">
      <c r="A105" s="5">
        <v>50</v>
      </c>
      <c r="B105" s="5">
        <v>0</v>
      </c>
      <c r="C105" s="5">
        <v>0</v>
      </c>
      <c r="D105" s="5">
        <v>1</v>
      </c>
      <c r="E105" s="5">
        <v>201</v>
      </c>
      <c r="F105" s="5">
        <f>ROUND(Source!O103,O105)</f>
        <v>0</v>
      </c>
      <c r="G105" s="5" t="s">
        <v>127</v>
      </c>
      <c r="H105" s="5" t="s">
        <v>128</v>
      </c>
      <c r="I105" s="5"/>
      <c r="J105" s="5"/>
      <c r="K105" s="5">
        <v>201</v>
      </c>
      <c r="L105" s="5">
        <v>1</v>
      </c>
      <c r="M105" s="5">
        <v>3</v>
      </c>
      <c r="N105" s="5" t="s">
        <v>3</v>
      </c>
      <c r="O105" s="5">
        <v>2</v>
      </c>
      <c r="P105" s="5">
        <f>ROUND(Source!DG103,O105)</f>
        <v>0</v>
      </c>
      <c r="Q105" s="5"/>
      <c r="R105" s="5"/>
      <c r="S105" s="5"/>
      <c r="T105" s="5"/>
      <c r="U105" s="5"/>
      <c r="V105" s="5"/>
      <c r="W105" s="5">
        <v>126.63</v>
      </c>
      <c r="X105" s="5">
        <v>1</v>
      </c>
      <c r="Y105" s="5">
        <v>126.63</v>
      </c>
      <c r="Z105" s="5">
        <v>1676.64</v>
      </c>
      <c r="AA105" s="5">
        <v>1</v>
      </c>
      <c r="AB105" s="5">
        <v>1676.64</v>
      </c>
    </row>
    <row r="106" spans="1:28" ht="12.75">
      <c r="A106" s="5">
        <v>50</v>
      </c>
      <c r="B106" s="5">
        <v>0</v>
      </c>
      <c r="C106" s="5">
        <v>0</v>
      </c>
      <c r="D106" s="5">
        <v>1</v>
      </c>
      <c r="E106" s="5">
        <v>202</v>
      </c>
      <c r="F106" s="5">
        <f>ROUND(Source!P103,O106)</f>
        <v>0</v>
      </c>
      <c r="G106" s="5" t="s">
        <v>129</v>
      </c>
      <c r="H106" s="5" t="s">
        <v>130</v>
      </c>
      <c r="I106" s="5"/>
      <c r="J106" s="5"/>
      <c r="K106" s="5">
        <v>202</v>
      </c>
      <c r="L106" s="5">
        <v>2</v>
      </c>
      <c r="M106" s="5">
        <v>3</v>
      </c>
      <c r="N106" s="5" t="s">
        <v>3</v>
      </c>
      <c r="O106" s="5">
        <v>2</v>
      </c>
      <c r="P106" s="5">
        <f>ROUND(Source!DH103,O106)</f>
        <v>0</v>
      </c>
      <c r="Q106" s="5"/>
      <c r="R106" s="5"/>
      <c r="S106" s="5"/>
      <c r="T106" s="5"/>
      <c r="U106" s="5"/>
      <c r="V106" s="5"/>
      <c r="W106" s="5">
        <v>0</v>
      </c>
      <c r="X106" s="5">
        <v>1</v>
      </c>
      <c r="Y106" s="5">
        <v>0</v>
      </c>
      <c r="Z106" s="5">
        <v>0</v>
      </c>
      <c r="AA106" s="5">
        <v>1</v>
      </c>
      <c r="AB106" s="5">
        <v>0</v>
      </c>
    </row>
    <row r="107" spans="1:28" ht="12.75">
      <c r="A107" s="5">
        <v>50</v>
      </c>
      <c r="B107" s="5">
        <v>0</v>
      </c>
      <c r="C107" s="5">
        <v>0</v>
      </c>
      <c r="D107" s="5">
        <v>1</v>
      </c>
      <c r="E107" s="5">
        <v>222</v>
      </c>
      <c r="F107" s="5">
        <f>ROUND(Source!AO103,O107)</f>
        <v>0</v>
      </c>
      <c r="G107" s="5" t="s">
        <v>131</v>
      </c>
      <c r="H107" s="5" t="s">
        <v>132</v>
      </c>
      <c r="I107" s="5"/>
      <c r="J107" s="5"/>
      <c r="K107" s="5">
        <v>222</v>
      </c>
      <c r="L107" s="5">
        <v>3</v>
      </c>
      <c r="M107" s="5">
        <v>3</v>
      </c>
      <c r="N107" s="5" t="s">
        <v>3</v>
      </c>
      <c r="O107" s="5">
        <v>2</v>
      </c>
      <c r="P107" s="5">
        <f>ROUND(Source!EG103,O107)</f>
        <v>0</v>
      </c>
      <c r="Q107" s="5"/>
      <c r="R107" s="5"/>
      <c r="S107" s="5"/>
      <c r="T107" s="5"/>
      <c r="U107" s="5"/>
      <c r="V107" s="5"/>
      <c r="W107" s="5">
        <v>0</v>
      </c>
      <c r="X107" s="5">
        <v>1</v>
      </c>
      <c r="Y107" s="5">
        <v>0</v>
      </c>
      <c r="Z107" s="5">
        <v>0</v>
      </c>
      <c r="AA107" s="5">
        <v>1</v>
      </c>
      <c r="AB107" s="5">
        <v>0</v>
      </c>
    </row>
    <row r="108" spans="1:28" ht="12.75">
      <c r="A108" s="5">
        <v>50</v>
      </c>
      <c r="B108" s="5">
        <v>0</v>
      </c>
      <c r="C108" s="5">
        <v>0</v>
      </c>
      <c r="D108" s="5">
        <v>1</v>
      </c>
      <c r="E108" s="5">
        <v>225</v>
      </c>
      <c r="F108" s="5">
        <f>ROUND(Source!AV103,O108)</f>
        <v>0</v>
      </c>
      <c r="G108" s="5" t="s">
        <v>133</v>
      </c>
      <c r="H108" s="5" t="s">
        <v>134</v>
      </c>
      <c r="I108" s="5"/>
      <c r="J108" s="5"/>
      <c r="K108" s="5">
        <v>225</v>
      </c>
      <c r="L108" s="5">
        <v>4</v>
      </c>
      <c r="M108" s="5">
        <v>3</v>
      </c>
      <c r="N108" s="5" t="s">
        <v>3</v>
      </c>
      <c r="O108" s="5">
        <v>2</v>
      </c>
      <c r="P108" s="5">
        <f>ROUND(Source!EN103,O108)</f>
        <v>0</v>
      </c>
      <c r="Q108" s="5"/>
      <c r="R108" s="5"/>
      <c r="S108" s="5"/>
      <c r="T108" s="5"/>
      <c r="U108" s="5"/>
      <c r="V108" s="5"/>
      <c r="W108" s="5">
        <v>0</v>
      </c>
      <c r="X108" s="5">
        <v>1</v>
      </c>
      <c r="Y108" s="5">
        <v>0</v>
      </c>
      <c r="Z108" s="5">
        <v>0</v>
      </c>
      <c r="AA108" s="5">
        <v>1</v>
      </c>
      <c r="AB108" s="5">
        <v>0</v>
      </c>
    </row>
    <row r="109" spans="1:28" ht="12.75">
      <c r="A109" s="5">
        <v>50</v>
      </c>
      <c r="B109" s="5">
        <v>1</v>
      </c>
      <c r="C109" s="5">
        <v>0</v>
      </c>
      <c r="D109" s="5">
        <v>1</v>
      </c>
      <c r="E109" s="5">
        <v>226</v>
      </c>
      <c r="F109" s="5">
        <f>ROUND(Source!AW103,O109)</f>
        <v>0</v>
      </c>
      <c r="G109" s="5" t="s">
        <v>135</v>
      </c>
      <c r="H109" s="5" t="s">
        <v>136</v>
      </c>
      <c r="I109" s="5"/>
      <c r="J109" s="5"/>
      <c r="K109" s="5">
        <v>226</v>
      </c>
      <c r="L109" s="5">
        <v>5</v>
      </c>
      <c r="M109" s="5">
        <v>0</v>
      </c>
      <c r="N109" s="5" t="s">
        <v>3</v>
      </c>
      <c r="O109" s="5">
        <v>2</v>
      </c>
      <c r="P109" s="5">
        <f>ROUND(Source!EO103,O109)</f>
        <v>0</v>
      </c>
      <c r="Q109" s="5"/>
      <c r="R109" s="5"/>
      <c r="S109" s="5"/>
      <c r="T109" s="5"/>
      <c r="U109" s="5"/>
      <c r="V109" s="5"/>
      <c r="W109" s="5">
        <v>0</v>
      </c>
      <c r="X109" s="5">
        <v>1</v>
      </c>
      <c r="Y109" s="5">
        <v>0</v>
      </c>
      <c r="Z109" s="5">
        <v>0</v>
      </c>
      <c r="AA109" s="5">
        <v>1</v>
      </c>
      <c r="AB109" s="5">
        <v>0</v>
      </c>
    </row>
    <row r="110" spans="1:28" ht="12.75">
      <c r="A110" s="5">
        <v>50</v>
      </c>
      <c r="B110" s="5">
        <v>0</v>
      </c>
      <c r="C110" s="5">
        <v>0</v>
      </c>
      <c r="D110" s="5">
        <v>1</v>
      </c>
      <c r="E110" s="5">
        <v>227</v>
      </c>
      <c r="F110" s="5">
        <f>ROUND(Source!AX103,O110)</f>
        <v>0</v>
      </c>
      <c r="G110" s="5" t="s">
        <v>137</v>
      </c>
      <c r="H110" s="5" t="s">
        <v>138</v>
      </c>
      <c r="I110" s="5"/>
      <c r="J110" s="5"/>
      <c r="K110" s="5">
        <v>227</v>
      </c>
      <c r="L110" s="5">
        <v>6</v>
      </c>
      <c r="M110" s="5">
        <v>3</v>
      </c>
      <c r="N110" s="5" t="s">
        <v>3</v>
      </c>
      <c r="O110" s="5">
        <v>2</v>
      </c>
      <c r="P110" s="5">
        <f>ROUND(Source!EP103,O110)</f>
        <v>0</v>
      </c>
      <c r="Q110" s="5"/>
      <c r="R110" s="5"/>
      <c r="S110" s="5"/>
      <c r="T110" s="5"/>
      <c r="U110" s="5"/>
      <c r="V110" s="5"/>
      <c r="W110" s="5">
        <v>0</v>
      </c>
      <c r="X110" s="5">
        <v>1</v>
      </c>
      <c r="Y110" s="5">
        <v>0</v>
      </c>
      <c r="Z110" s="5">
        <v>0</v>
      </c>
      <c r="AA110" s="5">
        <v>1</v>
      </c>
      <c r="AB110" s="5">
        <v>0</v>
      </c>
    </row>
    <row r="111" spans="1:28" ht="12.75">
      <c r="A111" s="5">
        <v>50</v>
      </c>
      <c r="B111" s="5">
        <v>0</v>
      </c>
      <c r="C111" s="5">
        <v>0</v>
      </c>
      <c r="D111" s="5">
        <v>1</v>
      </c>
      <c r="E111" s="5">
        <v>228</v>
      </c>
      <c r="F111" s="5">
        <f>ROUND(Source!AY103,O111)</f>
        <v>0</v>
      </c>
      <c r="G111" s="5" t="s">
        <v>139</v>
      </c>
      <c r="H111" s="5" t="s">
        <v>140</v>
      </c>
      <c r="I111" s="5"/>
      <c r="J111" s="5"/>
      <c r="K111" s="5">
        <v>228</v>
      </c>
      <c r="L111" s="5">
        <v>7</v>
      </c>
      <c r="M111" s="5">
        <v>3</v>
      </c>
      <c r="N111" s="5" t="s">
        <v>3</v>
      </c>
      <c r="O111" s="5">
        <v>2</v>
      </c>
      <c r="P111" s="5">
        <f>ROUND(Source!EQ103,O111)</f>
        <v>0</v>
      </c>
      <c r="Q111" s="5"/>
      <c r="R111" s="5"/>
      <c r="S111" s="5"/>
      <c r="T111" s="5"/>
      <c r="U111" s="5"/>
      <c r="V111" s="5"/>
      <c r="W111" s="5">
        <v>0</v>
      </c>
      <c r="X111" s="5">
        <v>1</v>
      </c>
      <c r="Y111" s="5">
        <v>0</v>
      </c>
      <c r="Z111" s="5">
        <v>0</v>
      </c>
      <c r="AA111" s="5">
        <v>1</v>
      </c>
      <c r="AB111" s="5">
        <v>0</v>
      </c>
    </row>
    <row r="112" spans="1:28" ht="12.75">
      <c r="A112" s="5">
        <v>50</v>
      </c>
      <c r="B112" s="5">
        <v>0</v>
      </c>
      <c r="C112" s="5">
        <v>0</v>
      </c>
      <c r="D112" s="5">
        <v>1</v>
      </c>
      <c r="E112" s="5">
        <v>216</v>
      </c>
      <c r="F112" s="5">
        <f>ROUND(Source!AP103,O112)</f>
        <v>0</v>
      </c>
      <c r="G112" s="5" t="s">
        <v>141</v>
      </c>
      <c r="H112" s="5" t="s">
        <v>142</v>
      </c>
      <c r="I112" s="5"/>
      <c r="J112" s="5"/>
      <c r="K112" s="5">
        <v>216</v>
      </c>
      <c r="L112" s="5">
        <v>8</v>
      </c>
      <c r="M112" s="5">
        <v>3</v>
      </c>
      <c r="N112" s="5" t="s">
        <v>3</v>
      </c>
      <c r="O112" s="5">
        <v>2</v>
      </c>
      <c r="P112" s="5">
        <f>ROUND(Source!EH103,O112)</f>
        <v>0</v>
      </c>
      <c r="Q112" s="5"/>
      <c r="R112" s="5"/>
      <c r="S112" s="5"/>
      <c r="T112" s="5"/>
      <c r="U112" s="5"/>
      <c r="V112" s="5"/>
      <c r="W112" s="5">
        <v>0</v>
      </c>
      <c r="X112" s="5">
        <v>1</v>
      </c>
      <c r="Y112" s="5">
        <v>0</v>
      </c>
      <c r="Z112" s="5">
        <v>0</v>
      </c>
      <c r="AA112" s="5">
        <v>1</v>
      </c>
      <c r="AB112" s="5">
        <v>0</v>
      </c>
    </row>
    <row r="113" spans="1:28" ht="12.75">
      <c r="A113" s="5">
        <v>50</v>
      </c>
      <c r="B113" s="5">
        <v>0</v>
      </c>
      <c r="C113" s="5">
        <v>0</v>
      </c>
      <c r="D113" s="5">
        <v>1</v>
      </c>
      <c r="E113" s="5">
        <v>223</v>
      </c>
      <c r="F113" s="5">
        <f>ROUND(Source!AQ103,O113)</f>
        <v>0</v>
      </c>
      <c r="G113" s="5" t="s">
        <v>143</v>
      </c>
      <c r="H113" s="5" t="s">
        <v>144</v>
      </c>
      <c r="I113" s="5"/>
      <c r="J113" s="5"/>
      <c r="K113" s="5">
        <v>223</v>
      </c>
      <c r="L113" s="5">
        <v>9</v>
      </c>
      <c r="M113" s="5">
        <v>3</v>
      </c>
      <c r="N113" s="5" t="s">
        <v>3</v>
      </c>
      <c r="O113" s="5">
        <v>2</v>
      </c>
      <c r="P113" s="5">
        <f>ROUND(Source!EI103,O113)</f>
        <v>0</v>
      </c>
      <c r="Q113" s="5"/>
      <c r="R113" s="5"/>
      <c r="S113" s="5"/>
      <c r="T113" s="5"/>
      <c r="U113" s="5"/>
      <c r="V113" s="5"/>
      <c r="W113" s="5">
        <v>0</v>
      </c>
      <c r="X113" s="5">
        <v>1</v>
      </c>
      <c r="Y113" s="5">
        <v>0</v>
      </c>
      <c r="Z113" s="5">
        <v>0</v>
      </c>
      <c r="AA113" s="5">
        <v>1</v>
      </c>
      <c r="AB113" s="5">
        <v>0</v>
      </c>
    </row>
    <row r="114" spans="1:28" ht="12.75">
      <c r="A114" s="5">
        <v>50</v>
      </c>
      <c r="B114" s="5">
        <v>0</v>
      </c>
      <c r="C114" s="5">
        <v>0</v>
      </c>
      <c r="D114" s="5">
        <v>1</v>
      </c>
      <c r="E114" s="5">
        <v>229</v>
      </c>
      <c r="F114" s="5">
        <f>ROUND(Source!AZ103,O114)</f>
        <v>0</v>
      </c>
      <c r="G114" s="5" t="s">
        <v>145</v>
      </c>
      <c r="H114" s="5" t="s">
        <v>146</v>
      </c>
      <c r="I114" s="5"/>
      <c r="J114" s="5"/>
      <c r="K114" s="5">
        <v>229</v>
      </c>
      <c r="L114" s="5">
        <v>10</v>
      </c>
      <c r="M114" s="5">
        <v>3</v>
      </c>
      <c r="N114" s="5" t="s">
        <v>3</v>
      </c>
      <c r="O114" s="5">
        <v>2</v>
      </c>
      <c r="P114" s="5">
        <f>ROUND(Source!ER103,O114)</f>
        <v>0</v>
      </c>
      <c r="Q114" s="5"/>
      <c r="R114" s="5"/>
      <c r="S114" s="5"/>
      <c r="T114" s="5"/>
      <c r="U114" s="5"/>
      <c r="V114" s="5"/>
      <c r="W114" s="5">
        <v>0</v>
      </c>
      <c r="X114" s="5">
        <v>1</v>
      </c>
      <c r="Y114" s="5">
        <v>0</v>
      </c>
      <c r="Z114" s="5">
        <v>0</v>
      </c>
      <c r="AA114" s="5">
        <v>1</v>
      </c>
      <c r="AB114" s="5">
        <v>0</v>
      </c>
    </row>
    <row r="115" spans="1:28" ht="12.75">
      <c r="A115" s="5">
        <v>50</v>
      </c>
      <c r="B115" s="5">
        <v>0</v>
      </c>
      <c r="C115" s="5">
        <v>0</v>
      </c>
      <c r="D115" s="5">
        <v>1</v>
      </c>
      <c r="E115" s="5">
        <v>203</v>
      </c>
      <c r="F115" s="5">
        <f>ROUND(Source!Q103,O115)</f>
        <v>0</v>
      </c>
      <c r="G115" s="5" t="s">
        <v>147</v>
      </c>
      <c r="H115" s="5" t="s">
        <v>148</v>
      </c>
      <c r="I115" s="5"/>
      <c r="J115" s="5"/>
      <c r="K115" s="5">
        <v>203</v>
      </c>
      <c r="L115" s="5">
        <v>11</v>
      </c>
      <c r="M115" s="5">
        <v>3</v>
      </c>
      <c r="N115" s="5" t="s">
        <v>3</v>
      </c>
      <c r="O115" s="5">
        <v>2</v>
      </c>
      <c r="P115" s="5">
        <f>ROUND(Source!DI103,O115)</f>
        <v>0</v>
      </c>
      <c r="Q115" s="5"/>
      <c r="R115" s="5"/>
      <c r="S115" s="5"/>
      <c r="T115" s="5"/>
      <c r="U115" s="5"/>
      <c r="V115" s="5"/>
      <c r="W115" s="5">
        <v>0</v>
      </c>
      <c r="X115" s="5">
        <v>1</v>
      </c>
      <c r="Y115" s="5">
        <v>0</v>
      </c>
      <c r="Z115" s="5">
        <v>0</v>
      </c>
      <c r="AA115" s="5">
        <v>1</v>
      </c>
      <c r="AB115" s="5">
        <v>0</v>
      </c>
    </row>
    <row r="116" spans="1:28" ht="12.75">
      <c r="A116" s="5">
        <v>50</v>
      </c>
      <c r="B116" s="5">
        <v>0</v>
      </c>
      <c r="C116" s="5">
        <v>0</v>
      </c>
      <c r="D116" s="5">
        <v>1</v>
      </c>
      <c r="E116" s="5">
        <v>231</v>
      </c>
      <c r="F116" s="5">
        <f>ROUND(Source!BB103,O116)</f>
        <v>0</v>
      </c>
      <c r="G116" s="5" t="s">
        <v>149</v>
      </c>
      <c r="H116" s="5" t="s">
        <v>150</v>
      </c>
      <c r="I116" s="5"/>
      <c r="J116" s="5"/>
      <c r="K116" s="5">
        <v>231</v>
      </c>
      <c r="L116" s="5">
        <v>12</v>
      </c>
      <c r="M116" s="5">
        <v>3</v>
      </c>
      <c r="N116" s="5" t="s">
        <v>3</v>
      </c>
      <c r="O116" s="5">
        <v>2</v>
      </c>
      <c r="P116" s="5">
        <f>ROUND(Source!ET103,O116)</f>
        <v>0</v>
      </c>
      <c r="Q116" s="5"/>
      <c r="R116" s="5"/>
      <c r="S116" s="5"/>
      <c r="T116" s="5"/>
      <c r="U116" s="5"/>
      <c r="V116" s="5"/>
      <c r="W116" s="5">
        <v>0</v>
      </c>
      <c r="X116" s="5">
        <v>1</v>
      </c>
      <c r="Y116" s="5">
        <v>0</v>
      </c>
      <c r="Z116" s="5">
        <v>0</v>
      </c>
      <c r="AA116" s="5">
        <v>1</v>
      </c>
      <c r="AB116" s="5">
        <v>0</v>
      </c>
    </row>
    <row r="117" spans="1:28" ht="12.75">
      <c r="A117" s="5">
        <v>50</v>
      </c>
      <c r="B117" s="5">
        <v>0</v>
      </c>
      <c r="C117" s="5">
        <v>0</v>
      </c>
      <c r="D117" s="5">
        <v>1</v>
      </c>
      <c r="E117" s="5">
        <v>204</v>
      </c>
      <c r="F117" s="5">
        <f>ROUND(Source!R103,O117)</f>
        <v>0</v>
      </c>
      <c r="G117" s="5" t="s">
        <v>151</v>
      </c>
      <c r="H117" s="5" t="s">
        <v>152</v>
      </c>
      <c r="I117" s="5"/>
      <c r="J117" s="5"/>
      <c r="K117" s="5">
        <v>204</v>
      </c>
      <c r="L117" s="5">
        <v>13</v>
      </c>
      <c r="M117" s="5">
        <v>3</v>
      </c>
      <c r="N117" s="5" t="s">
        <v>3</v>
      </c>
      <c r="O117" s="5">
        <v>2</v>
      </c>
      <c r="P117" s="5">
        <f>ROUND(Source!DJ103,O117)</f>
        <v>0</v>
      </c>
      <c r="Q117" s="5"/>
      <c r="R117" s="5"/>
      <c r="S117" s="5"/>
      <c r="T117" s="5"/>
      <c r="U117" s="5"/>
      <c r="V117" s="5"/>
      <c r="W117" s="5">
        <v>0</v>
      </c>
      <c r="X117" s="5">
        <v>1</v>
      </c>
      <c r="Y117" s="5">
        <v>0</v>
      </c>
      <c r="Z117" s="5">
        <v>0</v>
      </c>
      <c r="AA117" s="5">
        <v>1</v>
      </c>
      <c r="AB117" s="5">
        <v>0</v>
      </c>
    </row>
    <row r="118" spans="1:28" ht="12.75">
      <c r="A118" s="5">
        <v>50</v>
      </c>
      <c r="B118" s="5">
        <v>0</v>
      </c>
      <c r="C118" s="5">
        <v>0</v>
      </c>
      <c r="D118" s="5">
        <v>1</v>
      </c>
      <c r="E118" s="5">
        <v>205</v>
      </c>
      <c r="F118" s="5">
        <f>ROUND(Source!S103,O118)</f>
        <v>0</v>
      </c>
      <c r="G118" s="5" t="s">
        <v>153</v>
      </c>
      <c r="H118" s="5" t="s">
        <v>154</v>
      </c>
      <c r="I118" s="5"/>
      <c r="J118" s="5"/>
      <c r="K118" s="5">
        <v>205</v>
      </c>
      <c r="L118" s="5">
        <v>14</v>
      </c>
      <c r="M118" s="5">
        <v>3</v>
      </c>
      <c r="N118" s="5" t="s">
        <v>3</v>
      </c>
      <c r="O118" s="5">
        <v>2</v>
      </c>
      <c r="P118" s="5">
        <f>ROUND(Source!DK103,O118)</f>
        <v>0</v>
      </c>
      <c r="Q118" s="5"/>
      <c r="R118" s="5"/>
      <c r="S118" s="5"/>
      <c r="T118" s="5"/>
      <c r="U118" s="5"/>
      <c r="V118" s="5"/>
      <c r="W118" s="5">
        <v>0</v>
      </c>
      <c r="X118" s="5">
        <v>1</v>
      </c>
      <c r="Y118" s="5">
        <v>0</v>
      </c>
      <c r="Z118" s="5">
        <v>0</v>
      </c>
      <c r="AA118" s="5">
        <v>1</v>
      </c>
      <c r="AB118" s="5">
        <v>0</v>
      </c>
    </row>
    <row r="119" spans="1:28" ht="12.75">
      <c r="A119" s="5">
        <v>50</v>
      </c>
      <c r="B119" s="5">
        <v>0</v>
      </c>
      <c r="C119" s="5">
        <v>0</v>
      </c>
      <c r="D119" s="5">
        <v>1</v>
      </c>
      <c r="E119" s="5">
        <v>232</v>
      </c>
      <c r="F119" s="5">
        <f>ROUND(Source!BC103,O119)</f>
        <v>0</v>
      </c>
      <c r="G119" s="5" t="s">
        <v>155</v>
      </c>
      <c r="H119" s="5" t="s">
        <v>156</v>
      </c>
      <c r="I119" s="5"/>
      <c r="J119" s="5"/>
      <c r="K119" s="5">
        <v>232</v>
      </c>
      <c r="L119" s="5">
        <v>15</v>
      </c>
      <c r="M119" s="5">
        <v>3</v>
      </c>
      <c r="N119" s="5" t="s">
        <v>3</v>
      </c>
      <c r="O119" s="5">
        <v>2</v>
      </c>
      <c r="P119" s="5">
        <f>ROUND(Source!EU103,O119)</f>
        <v>0</v>
      </c>
      <c r="Q119" s="5"/>
      <c r="R119" s="5"/>
      <c r="S119" s="5"/>
      <c r="T119" s="5"/>
      <c r="U119" s="5"/>
      <c r="V119" s="5"/>
      <c r="W119" s="5">
        <v>0</v>
      </c>
      <c r="X119" s="5">
        <v>1</v>
      </c>
      <c r="Y119" s="5">
        <v>0</v>
      </c>
      <c r="Z119" s="5">
        <v>0</v>
      </c>
      <c r="AA119" s="5">
        <v>1</v>
      </c>
      <c r="AB119" s="5">
        <v>0</v>
      </c>
    </row>
    <row r="120" spans="1:28" ht="12.75">
      <c r="A120" s="5">
        <v>50</v>
      </c>
      <c r="B120" s="5">
        <v>0</v>
      </c>
      <c r="C120" s="5">
        <v>0</v>
      </c>
      <c r="D120" s="5">
        <v>1</v>
      </c>
      <c r="E120" s="5">
        <v>214</v>
      </c>
      <c r="F120" s="5">
        <f>ROUND(Source!AS103,O120)</f>
        <v>126.63</v>
      </c>
      <c r="G120" s="5" t="s">
        <v>157</v>
      </c>
      <c r="H120" s="5" t="s">
        <v>158</v>
      </c>
      <c r="I120" s="5"/>
      <c r="J120" s="5"/>
      <c r="K120" s="5">
        <v>214</v>
      </c>
      <c r="L120" s="5">
        <v>16</v>
      </c>
      <c r="M120" s="5">
        <v>3</v>
      </c>
      <c r="N120" s="5" t="s">
        <v>3</v>
      </c>
      <c r="O120" s="5">
        <v>2</v>
      </c>
      <c r="P120" s="5">
        <f>ROUND(Source!EK103,O120)</f>
        <v>1676.64</v>
      </c>
      <c r="Q120" s="5"/>
      <c r="R120" s="5"/>
      <c r="S120" s="5"/>
      <c r="T120" s="5"/>
      <c r="U120" s="5"/>
      <c r="V120" s="5"/>
      <c r="W120" s="5">
        <v>126.63</v>
      </c>
      <c r="X120" s="5">
        <v>1</v>
      </c>
      <c r="Y120" s="5">
        <v>126.63</v>
      </c>
      <c r="Z120" s="5">
        <v>1676.64</v>
      </c>
      <c r="AA120" s="5">
        <v>1</v>
      </c>
      <c r="AB120" s="5">
        <v>1676.64</v>
      </c>
    </row>
    <row r="121" spans="1:28" ht="12.75">
      <c r="A121" s="5">
        <v>50</v>
      </c>
      <c r="B121" s="5">
        <v>0</v>
      </c>
      <c r="C121" s="5">
        <v>0</v>
      </c>
      <c r="D121" s="5">
        <v>1</v>
      </c>
      <c r="E121" s="5">
        <v>215</v>
      </c>
      <c r="F121" s="5">
        <f>ROUND(Source!AT103,O121)</f>
        <v>0</v>
      </c>
      <c r="G121" s="5" t="s">
        <v>159</v>
      </c>
      <c r="H121" s="5" t="s">
        <v>160</v>
      </c>
      <c r="I121" s="5"/>
      <c r="J121" s="5"/>
      <c r="K121" s="5">
        <v>215</v>
      </c>
      <c r="L121" s="5">
        <v>17</v>
      </c>
      <c r="M121" s="5">
        <v>3</v>
      </c>
      <c r="N121" s="5" t="s">
        <v>3</v>
      </c>
      <c r="O121" s="5">
        <v>2</v>
      </c>
      <c r="P121" s="5">
        <f>ROUND(Source!EL103,O121)</f>
        <v>0</v>
      </c>
      <c r="Q121" s="5"/>
      <c r="R121" s="5"/>
      <c r="S121" s="5"/>
      <c r="T121" s="5"/>
      <c r="U121" s="5"/>
      <c r="V121" s="5"/>
      <c r="W121" s="5">
        <v>0</v>
      </c>
      <c r="X121" s="5">
        <v>1</v>
      </c>
      <c r="Y121" s="5">
        <v>0</v>
      </c>
      <c r="Z121" s="5">
        <v>0</v>
      </c>
      <c r="AA121" s="5">
        <v>1</v>
      </c>
      <c r="AB121" s="5">
        <v>0</v>
      </c>
    </row>
    <row r="122" spans="1:28" ht="12.75">
      <c r="A122" s="5">
        <v>50</v>
      </c>
      <c r="B122" s="5">
        <v>0</v>
      </c>
      <c r="C122" s="5">
        <v>0</v>
      </c>
      <c r="D122" s="5">
        <v>1</v>
      </c>
      <c r="E122" s="5">
        <v>217</v>
      </c>
      <c r="F122" s="5">
        <f>ROUND(Source!AU103,O122)</f>
        <v>0</v>
      </c>
      <c r="G122" s="5" t="s">
        <v>161</v>
      </c>
      <c r="H122" s="5" t="s">
        <v>162</v>
      </c>
      <c r="I122" s="5"/>
      <c r="J122" s="5"/>
      <c r="K122" s="5">
        <v>217</v>
      </c>
      <c r="L122" s="5">
        <v>18</v>
      </c>
      <c r="M122" s="5">
        <v>3</v>
      </c>
      <c r="N122" s="5" t="s">
        <v>3</v>
      </c>
      <c r="O122" s="5">
        <v>2</v>
      </c>
      <c r="P122" s="5">
        <f>ROUND(Source!EM103,O122)</f>
        <v>0</v>
      </c>
      <c r="Q122" s="5"/>
      <c r="R122" s="5"/>
      <c r="S122" s="5"/>
      <c r="T122" s="5"/>
      <c r="U122" s="5"/>
      <c r="V122" s="5"/>
      <c r="W122" s="5">
        <v>0</v>
      </c>
      <c r="X122" s="5">
        <v>1</v>
      </c>
      <c r="Y122" s="5">
        <v>0</v>
      </c>
      <c r="Z122" s="5">
        <v>0</v>
      </c>
      <c r="AA122" s="5">
        <v>1</v>
      </c>
      <c r="AB122" s="5">
        <v>0</v>
      </c>
    </row>
    <row r="123" spans="1:28" ht="12.75">
      <c r="A123" s="5">
        <v>50</v>
      </c>
      <c r="B123" s="5">
        <v>0</v>
      </c>
      <c r="C123" s="5">
        <v>0</v>
      </c>
      <c r="D123" s="5">
        <v>1</v>
      </c>
      <c r="E123" s="5">
        <v>230</v>
      </c>
      <c r="F123" s="5">
        <f>ROUND(Source!BA103,O123)</f>
        <v>0</v>
      </c>
      <c r="G123" s="5" t="s">
        <v>163</v>
      </c>
      <c r="H123" s="5" t="s">
        <v>164</v>
      </c>
      <c r="I123" s="5"/>
      <c r="J123" s="5"/>
      <c r="K123" s="5">
        <v>230</v>
      </c>
      <c r="L123" s="5">
        <v>19</v>
      </c>
      <c r="M123" s="5">
        <v>3</v>
      </c>
      <c r="N123" s="5" t="s">
        <v>3</v>
      </c>
      <c r="O123" s="5">
        <v>2</v>
      </c>
      <c r="P123" s="5">
        <f>ROUND(Source!ES103,O123)</f>
        <v>0</v>
      </c>
      <c r="Q123" s="5"/>
      <c r="R123" s="5"/>
      <c r="S123" s="5"/>
      <c r="T123" s="5"/>
      <c r="U123" s="5"/>
      <c r="V123" s="5"/>
      <c r="W123" s="5">
        <v>0</v>
      </c>
      <c r="X123" s="5">
        <v>1</v>
      </c>
      <c r="Y123" s="5">
        <v>0</v>
      </c>
      <c r="Z123" s="5">
        <v>0</v>
      </c>
      <c r="AA123" s="5">
        <v>1</v>
      </c>
      <c r="AB123" s="5">
        <v>0</v>
      </c>
    </row>
    <row r="124" spans="1:28" ht="12.75">
      <c r="A124" s="5">
        <v>50</v>
      </c>
      <c r="B124" s="5">
        <v>0</v>
      </c>
      <c r="C124" s="5">
        <v>0</v>
      </c>
      <c r="D124" s="5">
        <v>1</v>
      </c>
      <c r="E124" s="5">
        <v>206</v>
      </c>
      <c r="F124" s="5">
        <f>ROUND(Source!T103,O124)</f>
        <v>0</v>
      </c>
      <c r="G124" s="5" t="s">
        <v>165</v>
      </c>
      <c r="H124" s="5" t="s">
        <v>166</v>
      </c>
      <c r="I124" s="5"/>
      <c r="J124" s="5"/>
      <c r="K124" s="5">
        <v>206</v>
      </c>
      <c r="L124" s="5">
        <v>20</v>
      </c>
      <c r="M124" s="5">
        <v>3</v>
      </c>
      <c r="N124" s="5" t="s">
        <v>3</v>
      </c>
      <c r="O124" s="5">
        <v>2</v>
      </c>
      <c r="P124" s="5">
        <f>ROUND(Source!DL103,O124)</f>
        <v>0</v>
      </c>
      <c r="Q124" s="5"/>
      <c r="R124" s="5"/>
      <c r="S124" s="5"/>
      <c r="T124" s="5"/>
      <c r="U124" s="5"/>
      <c r="V124" s="5"/>
      <c r="W124" s="5">
        <v>0</v>
      </c>
      <c r="X124" s="5">
        <v>1</v>
      </c>
      <c r="Y124" s="5">
        <v>0</v>
      </c>
      <c r="Z124" s="5">
        <v>0</v>
      </c>
      <c r="AA124" s="5">
        <v>1</v>
      </c>
      <c r="AB124" s="5">
        <v>0</v>
      </c>
    </row>
    <row r="125" spans="1:28" ht="12.75">
      <c r="A125" s="5">
        <v>50</v>
      </c>
      <c r="B125" s="5">
        <v>0</v>
      </c>
      <c r="C125" s="5">
        <v>0</v>
      </c>
      <c r="D125" s="5">
        <v>1</v>
      </c>
      <c r="E125" s="5">
        <v>207</v>
      </c>
      <c r="F125" s="5">
        <f>Source!U103</f>
        <v>0</v>
      </c>
      <c r="G125" s="5" t="s">
        <v>167</v>
      </c>
      <c r="H125" s="5" t="s">
        <v>168</v>
      </c>
      <c r="I125" s="5"/>
      <c r="J125" s="5"/>
      <c r="K125" s="5">
        <v>207</v>
      </c>
      <c r="L125" s="5">
        <v>21</v>
      </c>
      <c r="M125" s="5">
        <v>3</v>
      </c>
      <c r="N125" s="5" t="s">
        <v>3</v>
      </c>
      <c r="O125" s="5">
        <v>-1</v>
      </c>
      <c r="P125" s="5">
        <f>Source!DM103</f>
        <v>0</v>
      </c>
      <c r="Q125" s="5"/>
      <c r="R125" s="5"/>
      <c r="S125" s="5"/>
      <c r="T125" s="5"/>
      <c r="U125" s="5"/>
      <c r="V125" s="5"/>
      <c r="W125" s="5">
        <v>0</v>
      </c>
      <c r="X125" s="5">
        <v>1</v>
      </c>
      <c r="Y125" s="5">
        <v>0</v>
      </c>
      <c r="Z125" s="5">
        <v>0</v>
      </c>
      <c r="AA125" s="5">
        <v>1</v>
      </c>
      <c r="AB125" s="5">
        <v>0</v>
      </c>
    </row>
    <row r="126" spans="1:28" ht="12.75">
      <c r="A126" s="5">
        <v>50</v>
      </c>
      <c r="B126" s="5">
        <v>0</v>
      </c>
      <c r="C126" s="5">
        <v>0</v>
      </c>
      <c r="D126" s="5">
        <v>1</v>
      </c>
      <c r="E126" s="5">
        <v>208</v>
      </c>
      <c r="F126" s="5">
        <f>Source!V103</f>
        <v>0</v>
      </c>
      <c r="G126" s="5" t="s">
        <v>169</v>
      </c>
      <c r="H126" s="5" t="s">
        <v>170</v>
      </c>
      <c r="I126" s="5"/>
      <c r="J126" s="5"/>
      <c r="K126" s="5">
        <v>208</v>
      </c>
      <c r="L126" s="5">
        <v>22</v>
      </c>
      <c r="M126" s="5">
        <v>3</v>
      </c>
      <c r="N126" s="5" t="s">
        <v>3</v>
      </c>
      <c r="O126" s="5">
        <v>-1</v>
      </c>
      <c r="P126" s="5">
        <f>Source!DN103</f>
        <v>0</v>
      </c>
      <c r="Q126" s="5"/>
      <c r="R126" s="5"/>
      <c r="S126" s="5"/>
      <c r="T126" s="5"/>
      <c r="U126" s="5"/>
      <c r="V126" s="5"/>
      <c r="W126" s="5">
        <v>0</v>
      </c>
      <c r="X126" s="5">
        <v>1</v>
      </c>
      <c r="Y126" s="5">
        <v>0</v>
      </c>
      <c r="Z126" s="5">
        <v>0</v>
      </c>
      <c r="AA126" s="5">
        <v>1</v>
      </c>
      <c r="AB126" s="5">
        <v>0</v>
      </c>
    </row>
    <row r="127" spans="1:28" ht="12.75">
      <c r="A127" s="5">
        <v>50</v>
      </c>
      <c r="B127" s="5">
        <v>0</v>
      </c>
      <c r="C127" s="5">
        <v>0</v>
      </c>
      <c r="D127" s="5">
        <v>1</v>
      </c>
      <c r="E127" s="5">
        <v>209</v>
      </c>
      <c r="F127" s="5">
        <f>ROUND(Source!W103,O127)</f>
        <v>0</v>
      </c>
      <c r="G127" s="5" t="s">
        <v>171</v>
      </c>
      <c r="H127" s="5" t="s">
        <v>172</v>
      </c>
      <c r="I127" s="5"/>
      <c r="J127" s="5"/>
      <c r="K127" s="5">
        <v>209</v>
      </c>
      <c r="L127" s="5">
        <v>23</v>
      </c>
      <c r="M127" s="5">
        <v>3</v>
      </c>
      <c r="N127" s="5" t="s">
        <v>3</v>
      </c>
      <c r="O127" s="5">
        <v>2</v>
      </c>
      <c r="P127" s="5">
        <f>ROUND(Source!DO103,O127)</f>
        <v>0</v>
      </c>
      <c r="Q127" s="5"/>
      <c r="R127" s="5"/>
      <c r="S127" s="5"/>
      <c r="T127" s="5"/>
      <c r="U127" s="5"/>
      <c r="V127" s="5"/>
      <c r="W127" s="5">
        <v>0</v>
      </c>
      <c r="X127" s="5">
        <v>1</v>
      </c>
      <c r="Y127" s="5">
        <v>0</v>
      </c>
      <c r="Z127" s="5">
        <v>0</v>
      </c>
      <c r="AA127" s="5">
        <v>1</v>
      </c>
      <c r="AB127" s="5">
        <v>0</v>
      </c>
    </row>
    <row r="128" spans="1:28" ht="12.75">
      <c r="A128" s="5">
        <v>50</v>
      </c>
      <c r="B128" s="5">
        <v>0</v>
      </c>
      <c r="C128" s="5">
        <v>0</v>
      </c>
      <c r="D128" s="5">
        <v>1</v>
      </c>
      <c r="E128" s="5">
        <v>233</v>
      </c>
      <c r="F128" s="5">
        <f>ROUND(Source!BD103,O128)</f>
        <v>126.63</v>
      </c>
      <c r="G128" s="5" t="s">
        <v>173</v>
      </c>
      <c r="H128" s="5" t="s">
        <v>174</v>
      </c>
      <c r="I128" s="5"/>
      <c r="J128" s="5"/>
      <c r="K128" s="5">
        <v>233</v>
      </c>
      <c r="L128" s="5">
        <v>24</v>
      </c>
      <c r="M128" s="5">
        <v>3</v>
      </c>
      <c r="N128" s="5" t="s">
        <v>3</v>
      </c>
      <c r="O128" s="5">
        <v>2</v>
      </c>
      <c r="P128" s="5">
        <f>ROUND(Source!EV103,O128)</f>
        <v>1676.64</v>
      </c>
      <c r="Q128" s="5"/>
      <c r="R128" s="5"/>
      <c r="S128" s="5"/>
      <c r="T128" s="5"/>
      <c r="U128" s="5"/>
      <c r="V128" s="5"/>
      <c r="W128" s="5">
        <v>126.63</v>
      </c>
      <c r="X128" s="5">
        <v>1</v>
      </c>
      <c r="Y128" s="5">
        <v>126.63</v>
      </c>
      <c r="Z128" s="5">
        <v>1676.64</v>
      </c>
      <c r="AA128" s="5">
        <v>1</v>
      </c>
      <c r="AB128" s="5">
        <v>1676.64</v>
      </c>
    </row>
    <row r="129" spans="1:28" ht="12.75">
      <c r="A129" s="5">
        <v>50</v>
      </c>
      <c r="B129" s="5">
        <v>0</v>
      </c>
      <c r="C129" s="5">
        <v>0</v>
      </c>
      <c r="D129" s="5">
        <v>1</v>
      </c>
      <c r="E129" s="5">
        <v>210</v>
      </c>
      <c r="F129" s="5">
        <f>ROUND(Source!X103,O129)</f>
        <v>0</v>
      </c>
      <c r="G129" s="5" t="s">
        <v>175</v>
      </c>
      <c r="H129" s="5" t="s">
        <v>176</v>
      </c>
      <c r="I129" s="5"/>
      <c r="J129" s="5"/>
      <c r="K129" s="5">
        <v>210</v>
      </c>
      <c r="L129" s="5">
        <v>25</v>
      </c>
      <c r="M129" s="5">
        <v>3</v>
      </c>
      <c r="N129" s="5" t="s">
        <v>3</v>
      </c>
      <c r="O129" s="5">
        <v>2</v>
      </c>
      <c r="P129" s="5">
        <f>ROUND(Source!DP103,O129)</f>
        <v>0</v>
      </c>
      <c r="Q129" s="5"/>
      <c r="R129" s="5"/>
      <c r="S129" s="5"/>
      <c r="T129" s="5"/>
      <c r="U129" s="5"/>
      <c r="V129" s="5"/>
      <c r="W129" s="5">
        <v>0</v>
      </c>
      <c r="X129" s="5">
        <v>1</v>
      </c>
      <c r="Y129" s="5">
        <v>0</v>
      </c>
      <c r="Z129" s="5">
        <v>0</v>
      </c>
      <c r="AA129" s="5">
        <v>1</v>
      </c>
      <c r="AB129" s="5">
        <v>0</v>
      </c>
    </row>
    <row r="130" spans="1:28" ht="12.75">
      <c r="A130" s="5">
        <v>50</v>
      </c>
      <c r="B130" s="5">
        <v>0</v>
      </c>
      <c r="C130" s="5">
        <v>0</v>
      </c>
      <c r="D130" s="5">
        <v>1</v>
      </c>
      <c r="E130" s="5">
        <v>211</v>
      </c>
      <c r="F130" s="5">
        <f>ROUND(Source!Y103,O130)</f>
        <v>0</v>
      </c>
      <c r="G130" s="5" t="s">
        <v>177</v>
      </c>
      <c r="H130" s="5" t="s">
        <v>178</v>
      </c>
      <c r="I130" s="5"/>
      <c r="J130" s="5"/>
      <c r="K130" s="5">
        <v>211</v>
      </c>
      <c r="L130" s="5">
        <v>26</v>
      </c>
      <c r="M130" s="5">
        <v>3</v>
      </c>
      <c r="N130" s="5" t="s">
        <v>3</v>
      </c>
      <c r="O130" s="5">
        <v>2</v>
      </c>
      <c r="P130" s="5">
        <f>ROUND(Source!DQ103,O130)</f>
        <v>0</v>
      </c>
      <c r="Q130" s="5"/>
      <c r="R130" s="5"/>
      <c r="S130" s="5"/>
      <c r="T130" s="5"/>
      <c r="U130" s="5"/>
      <c r="V130" s="5"/>
      <c r="W130" s="5">
        <v>0</v>
      </c>
      <c r="X130" s="5">
        <v>1</v>
      </c>
      <c r="Y130" s="5">
        <v>0</v>
      </c>
      <c r="Z130" s="5">
        <v>0</v>
      </c>
      <c r="AA130" s="5">
        <v>1</v>
      </c>
      <c r="AB130" s="5">
        <v>0</v>
      </c>
    </row>
    <row r="131" spans="1:28" ht="12.75">
      <c r="A131" s="5">
        <v>50</v>
      </c>
      <c r="B131" s="5">
        <v>0</v>
      </c>
      <c r="C131" s="5">
        <v>0</v>
      </c>
      <c r="D131" s="5">
        <v>1</v>
      </c>
      <c r="E131" s="5">
        <v>224</v>
      </c>
      <c r="F131" s="5">
        <f>ROUND(Source!AR103,O131)</f>
        <v>126.63</v>
      </c>
      <c r="G131" s="5" t="s">
        <v>179</v>
      </c>
      <c r="H131" s="5" t="s">
        <v>180</v>
      </c>
      <c r="I131" s="5"/>
      <c r="J131" s="5"/>
      <c r="K131" s="5">
        <v>224</v>
      </c>
      <c r="L131" s="5">
        <v>27</v>
      </c>
      <c r="M131" s="5">
        <v>3</v>
      </c>
      <c r="N131" s="5" t="s">
        <v>3</v>
      </c>
      <c r="O131" s="5">
        <v>2</v>
      </c>
      <c r="P131" s="5">
        <f>ROUND(Source!EJ103,O131)</f>
        <v>1676.64</v>
      </c>
      <c r="Q131" s="5"/>
      <c r="R131" s="5"/>
      <c r="S131" s="5"/>
      <c r="T131" s="5"/>
      <c r="U131" s="5"/>
      <c r="V131" s="5"/>
      <c r="W131" s="5">
        <v>126.63</v>
      </c>
      <c r="X131" s="5">
        <v>1</v>
      </c>
      <c r="Y131" s="5">
        <v>126.63</v>
      </c>
      <c r="Z131" s="5">
        <v>1676.64</v>
      </c>
      <c r="AA131" s="5">
        <v>1</v>
      </c>
      <c r="AB131" s="5">
        <v>1676.64</v>
      </c>
    </row>
    <row r="132" spans="1:28" ht="12.75">
      <c r="A132" s="5">
        <v>50</v>
      </c>
      <c r="B132" s="5">
        <v>1</v>
      </c>
      <c r="C132" s="5">
        <v>0</v>
      </c>
      <c r="D132" s="5">
        <v>2</v>
      </c>
      <c r="E132" s="5">
        <v>0</v>
      </c>
      <c r="F132" s="5">
        <f>ROUND(F131,O132)</f>
        <v>126.63</v>
      </c>
      <c r="G132" s="5" t="s">
        <v>181</v>
      </c>
      <c r="H132" s="5" t="s">
        <v>182</v>
      </c>
      <c r="I132" s="5"/>
      <c r="J132" s="5"/>
      <c r="K132" s="5">
        <v>212</v>
      </c>
      <c r="L132" s="5">
        <v>28</v>
      </c>
      <c r="M132" s="5">
        <v>0</v>
      </c>
      <c r="N132" s="5" t="s">
        <v>3</v>
      </c>
      <c r="O132" s="5">
        <v>2</v>
      </c>
      <c r="P132" s="5">
        <f>ROUND(P131,O132)</f>
        <v>1676.64</v>
      </c>
      <c r="Q132" s="5"/>
      <c r="R132" s="5"/>
      <c r="S132" s="5"/>
      <c r="T132" s="5"/>
      <c r="U132" s="5"/>
      <c r="V132" s="5"/>
      <c r="W132" s="5">
        <v>126.63</v>
      </c>
      <c r="X132" s="5">
        <v>1</v>
      </c>
      <c r="Y132" s="5">
        <v>126.63</v>
      </c>
      <c r="Z132" s="5">
        <v>1676.64</v>
      </c>
      <c r="AA132" s="5">
        <v>1</v>
      </c>
      <c r="AB132" s="5">
        <v>1676.64</v>
      </c>
    </row>
    <row r="134" spans="1:206" ht="12.75">
      <c r="A134" s="3">
        <v>51</v>
      </c>
      <c r="B134" s="3">
        <f>B20</f>
        <v>1</v>
      </c>
      <c r="C134" s="3">
        <f>A20</f>
        <v>3</v>
      </c>
      <c r="D134" s="3">
        <f>ROW(A20)</f>
        <v>20</v>
      </c>
      <c r="E134" s="3"/>
      <c r="F134" s="3">
        <f>IF(F20&lt;&gt;"",F20,"")</f>
      </c>
      <c r="G134" s="3">
        <f>IF(G20&lt;&gt;"",G20,"")</f>
      </c>
      <c r="H134" s="3">
        <v>0</v>
      </c>
      <c r="I134" s="3"/>
      <c r="J134" s="3"/>
      <c r="K134" s="3"/>
      <c r="L134" s="3"/>
      <c r="M134" s="3"/>
      <c r="N134" s="3"/>
      <c r="O134" s="3">
        <f aca="true" t="shared" si="78" ref="O134:T134">ROUND(O63+O103+AB134,2)</f>
        <v>1333697.86</v>
      </c>
      <c r="P134" s="3">
        <f t="shared" si="78"/>
        <v>1331282.11</v>
      </c>
      <c r="Q134" s="3">
        <f t="shared" si="78"/>
        <v>477.62</v>
      </c>
      <c r="R134" s="3">
        <f t="shared" si="78"/>
        <v>62.76</v>
      </c>
      <c r="S134" s="3">
        <f t="shared" si="78"/>
        <v>1938.13</v>
      </c>
      <c r="T134" s="3">
        <f t="shared" si="78"/>
        <v>0</v>
      </c>
      <c r="U134" s="3">
        <f>U63+U103+AH134</f>
        <v>196.45770199999998</v>
      </c>
      <c r="V134" s="3">
        <f>V63+V103+AI134</f>
        <v>5.1020650000000005</v>
      </c>
      <c r="W134" s="3">
        <f>ROUND(W63+W103+AJ134,2)</f>
        <v>0</v>
      </c>
      <c r="X134" s="3">
        <f>ROUND(X63+X103+AK134,2)</f>
        <v>1882.86</v>
      </c>
      <c r="Y134" s="3">
        <f>ROUND(Y63+Y103+AL134,2)</f>
        <v>1117.21</v>
      </c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>
        <f aca="true" t="shared" si="79" ref="AO134:BD134">ROUND(AO63+AO103+BX134,2)</f>
        <v>0</v>
      </c>
      <c r="AP134" s="3">
        <f t="shared" si="79"/>
        <v>0</v>
      </c>
      <c r="AQ134" s="3">
        <f t="shared" si="79"/>
        <v>0</v>
      </c>
      <c r="AR134" s="3">
        <f t="shared" si="79"/>
        <v>1336824.56</v>
      </c>
      <c r="AS134" s="3">
        <f t="shared" si="79"/>
        <v>1079864.56</v>
      </c>
      <c r="AT134" s="3">
        <f t="shared" si="79"/>
        <v>256960</v>
      </c>
      <c r="AU134" s="3">
        <f t="shared" si="79"/>
        <v>0</v>
      </c>
      <c r="AV134" s="3">
        <f t="shared" si="79"/>
        <v>1331282.11</v>
      </c>
      <c r="AW134" s="3">
        <f t="shared" si="79"/>
        <v>1331282.11</v>
      </c>
      <c r="AX134" s="3">
        <f t="shared" si="79"/>
        <v>0</v>
      </c>
      <c r="AY134" s="3">
        <f t="shared" si="79"/>
        <v>1331282.11</v>
      </c>
      <c r="AZ134" s="3">
        <f t="shared" si="79"/>
        <v>0</v>
      </c>
      <c r="BA134" s="3">
        <f t="shared" si="79"/>
        <v>0</v>
      </c>
      <c r="BB134" s="3">
        <f t="shared" si="79"/>
        <v>0</v>
      </c>
      <c r="BC134" s="3">
        <f t="shared" si="79"/>
        <v>0</v>
      </c>
      <c r="BD134" s="3">
        <f t="shared" si="79"/>
        <v>126.63</v>
      </c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4">
        <f aca="true" t="shared" si="80" ref="DG134:DL134">ROUND(DG63+DG103+DT134,2)</f>
        <v>1419630.39</v>
      </c>
      <c r="DH134" s="4">
        <f t="shared" si="80"/>
        <v>1340937.04</v>
      </c>
      <c r="DI134" s="4">
        <f t="shared" si="80"/>
        <v>6323.68</v>
      </c>
      <c r="DJ134" s="4">
        <f t="shared" si="80"/>
        <v>2343.26</v>
      </c>
      <c r="DK134" s="4">
        <f t="shared" si="80"/>
        <v>72369.67</v>
      </c>
      <c r="DL134" s="4">
        <f t="shared" si="80"/>
        <v>0</v>
      </c>
      <c r="DM134" s="4">
        <f>DM63+DM103+DZ134</f>
        <v>196.45770199999998</v>
      </c>
      <c r="DN134" s="4">
        <f>DN63+DN103+EA134</f>
        <v>5.1020650000000005</v>
      </c>
      <c r="DO134" s="4">
        <f>ROUND(DO63+DO103+EB134,2)</f>
        <v>0</v>
      </c>
      <c r="DP134" s="4">
        <f>ROUND(DP63+DP103+EC134,2)</f>
        <v>70305.36</v>
      </c>
      <c r="DQ134" s="4">
        <f>ROUND(DQ63+DQ103+ED134,2)</f>
        <v>41716.55</v>
      </c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>
        <f aca="true" t="shared" si="81" ref="EG134:EV134">ROUND(EG63+EG103+FP134,2)</f>
        <v>0</v>
      </c>
      <c r="EH134" s="4">
        <f t="shared" si="81"/>
        <v>0</v>
      </c>
      <c r="EI134" s="4">
        <f t="shared" si="81"/>
        <v>0</v>
      </c>
      <c r="EJ134" s="4">
        <f t="shared" si="81"/>
        <v>1533328.94</v>
      </c>
      <c r="EK134" s="4">
        <f t="shared" si="81"/>
        <v>1276368.94</v>
      </c>
      <c r="EL134" s="4">
        <f t="shared" si="81"/>
        <v>256960</v>
      </c>
      <c r="EM134" s="4">
        <f t="shared" si="81"/>
        <v>0</v>
      </c>
      <c r="EN134" s="4">
        <f t="shared" si="81"/>
        <v>1340937.04</v>
      </c>
      <c r="EO134" s="4">
        <f t="shared" si="81"/>
        <v>1340937.04</v>
      </c>
      <c r="EP134" s="4">
        <f t="shared" si="81"/>
        <v>0</v>
      </c>
      <c r="EQ134" s="4">
        <f t="shared" si="81"/>
        <v>1340937.04</v>
      </c>
      <c r="ER134" s="4">
        <f t="shared" si="81"/>
        <v>0</v>
      </c>
      <c r="ES134" s="4">
        <f t="shared" si="81"/>
        <v>0</v>
      </c>
      <c r="ET134" s="4">
        <f t="shared" si="81"/>
        <v>0</v>
      </c>
      <c r="EU134" s="4">
        <f t="shared" si="81"/>
        <v>0</v>
      </c>
      <c r="EV134" s="4">
        <f t="shared" si="81"/>
        <v>1676.64</v>
      </c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4"/>
      <c r="GK134" s="4"/>
      <c r="GL134" s="4"/>
      <c r="GM134" s="4"/>
      <c r="GN134" s="4"/>
      <c r="GO134" s="4"/>
      <c r="GP134" s="4"/>
      <c r="GQ134" s="4"/>
      <c r="GR134" s="4"/>
      <c r="GS134" s="4"/>
      <c r="GT134" s="4"/>
      <c r="GU134" s="4"/>
      <c r="GV134" s="4"/>
      <c r="GW134" s="4"/>
      <c r="GX134" s="4">
        <v>0</v>
      </c>
    </row>
    <row r="136" spans="1:28" ht="12.75">
      <c r="A136" s="5">
        <v>50</v>
      </c>
      <c r="B136" s="5">
        <v>0</v>
      </c>
      <c r="C136" s="5">
        <v>0</v>
      </c>
      <c r="D136" s="5">
        <v>1</v>
      </c>
      <c r="E136" s="5">
        <v>201</v>
      </c>
      <c r="F136" s="5">
        <f>ROUND(Source!O134,O136)</f>
        <v>1333697.86</v>
      </c>
      <c r="G136" s="5" t="s">
        <v>127</v>
      </c>
      <c r="H136" s="5" t="s">
        <v>128</v>
      </c>
      <c r="I136" s="5"/>
      <c r="J136" s="5"/>
      <c r="K136" s="5">
        <v>201</v>
      </c>
      <c r="L136" s="5">
        <v>1</v>
      </c>
      <c r="M136" s="5">
        <v>3</v>
      </c>
      <c r="N136" s="5" t="s">
        <v>3</v>
      </c>
      <c r="O136" s="5">
        <v>2</v>
      </c>
      <c r="P136" s="5">
        <f>ROUND(Source!DG134,O136)</f>
        <v>1419630.39</v>
      </c>
      <c r="Q136" s="5"/>
      <c r="R136" s="5"/>
      <c r="S136" s="5"/>
      <c r="T136" s="5"/>
      <c r="U136" s="5"/>
      <c r="V136" s="5"/>
      <c r="W136" s="5">
        <v>1333824.49</v>
      </c>
      <c r="X136" s="5">
        <v>1</v>
      </c>
      <c r="Y136" s="5">
        <v>1333824.49</v>
      </c>
      <c r="Z136" s="5">
        <v>1421307.03</v>
      </c>
      <c r="AA136" s="5">
        <v>1</v>
      </c>
      <c r="AB136" s="5">
        <v>1421307.03</v>
      </c>
    </row>
    <row r="137" spans="1:28" ht="12.75">
      <c r="A137" s="5">
        <v>50</v>
      </c>
      <c r="B137" s="5">
        <v>0</v>
      </c>
      <c r="C137" s="5">
        <v>0</v>
      </c>
      <c r="D137" s="5">
        <v>1</v>
      </c>
      <c r="E137" s="5">
        <v>202</v>
      </c>
      <c r="F137" s="5">
        <f>ROUND(Source!P134,O137)</f>
        <v>1331282.11</v>
      </c>
      <c r="G137" s="5" t="s">
        <v>129</v>
      </c>
      <c r="H137" s="5" t="s">
        <v>130</v>
      </c>
      <c r="I137" s="5"/>
      <c r="J137" s="5"/>
      <c r="K137" s="5">
        <v>202</v>
      </c>
      <c r="L137" s="5">
        <v>2</v>
      </c>
      <c r="M137" s="5">
        <v>3</v>
      </c>
      <c r="N137" s="5" t="s">
        <v>3</v>
      </c>
      <c r="O137" s="5">
        <v>2</v>
      </c>
      <c r="P137" s="5">
        <f>ROUND(Source!DH134,O137)</f>
        <v>1340937.04</v>
      </c>
      <c r="Q137" s="5"/>
      <c r="R137" s="5"/>
      <c r="S137" s="5"/>
      <c r="T137" s="5"/>
      <c r="U137" s="5"/>
      <c r="V137" s="5"/>
      <c r="W137" s="5">
        <v>1331282.11</v>
      </c>
      <c r="X137" s="5">
        <v>1</v>
      </c>
      <c r="Y137" s="5">
        <v>1331282.11</v>
      </c>
      <c r="Z137" s="5">
        <v>1340937.04</v>
      </c>
      <c r="AA137" s="5">
        <v>1</v>
      </c>
      <c r="AB137" s="5">
        <v>1340937.04</v>
      </c>
    </row>
    <row r="138" spans="1:28" ht="12.75">
      <c r="A138" s="5">
        <v>50</v>
      </c>
      <c r="B138" s="5">
        <v>0</v>
      </c>
      <c r="C138" s="5">
        <v>0</v>
      </c>
      <c r="D138" s="5">
        <v>1</v>
      </c>
      <c r="E138" s="5">
        <v>222</v>
      </c>
      <c r="F138" s="5">
        <f>ROUND(Source!AO134,O138)</f>
        <v>0</v>
      </c>
      <c r="G138" s="5" t="s">
        <v>131</v>
      </c>
      <c r="H138" s="5" t="s">
        <v>132</v>
      </c>
      <c r="I138" s="5"/>
      <c r="J138" s="5"/>
      <c r="K138" s="5">
        <v>222</v>
      </c>
      <c r="L138" s="5">
        <v>3</v>
      </c>
      <c r="M138" s="5">
        <v>3</v>
      </c>
      <c r="N138" s="5" t="s">
        <v>3</v>
      </c>
      <c r="O138" s="5">
        <v>2</v>
      </c>
      <c r="P138" s="5">
        <f>ROUND(Source!EG134,O138)</f>
        <v>0</v>
      </c>
      <c r="Q138" s="5"/>
      <c r="R138" s="5"/>
      <c r="S138" s="5"/>
      <c r="T138" s="5"/>
      <c r="U138" s="5"/>
      <c r="V138" s="5"/>
      <c r="W138" s="5">
        <v>0</v>
      </c>
      <c r="X138" s="5">
        <v>1</v>
      </c>
      <c r="Y138" s="5">
        <v>0</v>
      </c>
      <c r="Z138" s="5">
        <v>0</v>
      </c>
      <c r="AA138" s="5">
        <v>1</v>
      </c>
      <c r="AB138" s="5">
        <v>0</v>
      </c>
    </row>
    <row r="139" spans="1:28" ht="12.75">
      <c r="A139" s="5">
        <v>50</v>
      </c>
      <c r="B139" s="5">
        <v>0</v>
      </c>
      <c r="C139" s="5">
        <v>0</v>
      </c>
      <c r="D139" s="5">
        <v>1</v>
      </c>
      <c r="E139" s="5">
        <v>225</v>
      </c>
      <c r="F139" s="5">
        <f>ROUND(Source!AV134,O139)</f>
        <v>1331282.11</v>
      </c>
      <c r="G139" s="5" t="s">
        <v>133</v>
      </c>
      <c r="H139" s="5" t="s">
        <v>134</v>
      </c>
      <c r="I139" s="5"/>
      <c r="J139" s="5"/>
      <c r="K139" s="5">
        <v>225</v>
      </c>
      <c r="L139" s="5">
        <v>4</v>
      </c>
      <c r="M139" s="5">
        <v>3</v>
      </c>
      <c r="N139" s="5" t="s">
        <v>3</v>
      </c>
      <c r="O139" s="5">
        <v>2</v>
      </c>
      <c r="P139" s="5">
        <f>ROUND(Source!EN134,O139)</f>
        <v>1340937.04</v>
      </c>
      <c r="Q139" s="5"/>
      <c r="R139" s="5"/>
      <c r="S139" s="5"/>
      <c r="T139" s="5"/>
      <c r="U139" s="5"/>
      <c r="V139" s="5"/>
      <c r="W139" s="5">
        <v>1331282.11</v>
      </c>
      <c r="X139" s="5">
        <v>1</v>
      </c>
      <c r="Y139" s="5">
        <v>1331282.11</v>
      </c>
      <c r="Z139" s="5">
        <v>1340937.04</v>
      </c>
      <c r="AA139" s="5">
        <v>1</v>
      </c>
      <c r="AB139" s="5">
        <v>1340937.04</v>
      </c>
    </row>
    <row r="140" spans="1:28" ht="12.75">
      <c r="A140" s="5">
        <v>50</v>
      </c>
      <c r="B140" s="5">
        <v>1</v>
      </c>
      <c r="C140" s="5">
        <v>0</v>
      </c>
      <c r="D140" s="5">
        <v>1</v>
      </c>
      <c r="E140" s="5">
        <v>226</v>
      </c>
      <c r="F140" s="5">
        <f>ROUND(Source!AW134,O140)</f>
        <v>1331282.11</v>
      </c>
      <c r="G140" s="5" t="s">
        <v>135</v>
      </c>
      <c r="H140" s="5" t="s">
        <v>136</v>
      </c>
      <c r="I140" s="5"/>
      <c r="J140" s="5"/>
      <c r="K140" s="5">
        <v>226</v>
      </c>
      <c r="L140" s="5">
        <v>5</v>
      </c>
      <c r="M140" s="5">
        <v>0</v>
      </c>
      <c r="N140" s="5" t="s">
        <v>3</v>
      </c>
      <c r="O140" s="5">
        <v>2</v>
      </c>
      <c r="P140" s="5">
        <f>ROUND(Source!EO134,O140)</f>
        <v>1340937.04</v>
      </c>
      <c r="Q140" s="5"/>
      <c r="R140" s="5"/>
      <c r="S140" s="5"/>
      <c r="T140" s="5"/>
      <c r="U140" s="5"/>
      <c r="V140" s="5"/>
      <c r="W140" s="5">
        <v>1331282.11</v>
      </c>
      <c r="X140" s="5">
        <v>1</v>
      </c>
      <c r="Y140" s="5">
        <v>1331282.11</v>
      </c>
      <c r="Z140" s="5">
        <v>1340937.04</v>
      </c>
      <c r="AA140" s="5">
        <v>1</v>
      </c>
      <c r="AB140" s="5">
        <v>1340937.04</v>
      </c>
    </row>
    <row r="141" spans="1:28" ht="12.75">
      <c r="A141" s="5">
        <v>50</v>
      </c>
      <c r="B141" s="5">
        <v>0</v>
      </c>
      <c r="C141" s="5">
        <v>0</v>
      </c>
      <c r="D141" s="5">
        <v>1</v>
      </c>
      <c r="E141" s="5">
        <v>227</v>
      </c>
      <c r="F141" s="5">
        <f>ROUND(Source!AX134,O141)</f>
        <v>0</v>
      </c>
      <c r="G141" s="5" t="s">
        <v>137</v>
      </c>
      <c r="H141" s="5" t="s">
        <v>138</v>
      </c>
      <c r="I141" s="5"/>
      <c r="J141" s="5"/>
      <c r="K141" s="5">
        <v>227</v>
      </c>
      <c r="L141" s="5">
        <v>6</v>
      </c>
      <c r="M141" s="5">
        <v>3</v>
      </c>
      <c r="N141" s="5" t="s">
        <v>3</v>
      </c>
      <c r="O141" s="5">
        <v>2</v>
      </c>
      <c r="P141" s="5">
        <f>ROUND(Source!EP134,O141)</f>
        <v>0</v>
      </c>
      <c r="Q141" s="5"/>
      <c r="R141" s="5"/>
      <c r="S141" s="5"/>
      <c r="T141" s="5"/>
      <c r="U141" s="5"/>
      <c r="V141" s="5"/>
      <c r="W141" s="5">
        <v>0</v>
      </c>
      <c r="X141" s="5">
        <v>1</v>
      </c>
      <c r="Y141" s="5">
        <v>0</v>
      </c>
      <c r="Z141" s="5">
        <v>0</v>
      </c>
      <c r="AA141" s="5">
        <v>1</v>
      </c>
      <c r="AB141" s="5">
        <v>0</v>
      </c>
    </row>
    <row r="142" spans="1:28" ht="12.75">
      <c r="A142" s="5">
        <v>50</v>
      </c>
      <c r="B142" s="5">
        <v>0</v>
      </c>
      <c r="C142" s="5">
        <v>0</v>
      </c>
      <c r="D142" s="5">
        <v>1</v>
      </c>
      <c r="E142" s="5">
        <v>228</v>
      </c>
      <c r="F142" s="5">
        <f>ROUND(Source!AY134,O142)</f>
        <v>1331282.11</v>
      </c>
      <c r="G142" s="5" t="s">
        <v>139</v>
      </c>
      <c r="H142" s="5" t="s">
        <v>140</v>
      </c>
      <c r="I142" s="5"/>
      <c r="J142" s="5"/>
      <c r="K142" s="5">
        <v>228</v>
      </c>
      <c r="L142" s="5">
        <v>7</v>
      </c>
      <c r="M142" s="5">
        <v>3</v>
      </c>
      <c r="N142" s="5" t="s">
        <v>3</v>
      </c>
      <c r="O142" s="5">
        <v>2</v>
      </c>
      <c r="P142" s="5">
        <f>ROUND(Source!EQ134,O142)</f>
        <v>1340937.04</v>
      </c>
      <c r="Q142" s="5"/>
      <c r="R142" s="5"/>
      <c r="S142" s="5"/>
      <c r="T142" s="5"/>
      <c r="U142" s="5"/>
      <c r="V142" s="5"/>
      <c r="W142" s="5">
        <v>1331282.11</v>
      </c>
      <c r="X142" s="5">
        <v>1</v>
      </c>
      <c r="Y142" s="5">
        <v>1331282.11</v>
      </c>
      <c r="Z142" s="5">
        <v>1340937.04</v>
      </c>
      <c r="AA142" s="5">
        <v>1</v>
      </c>
      <c r="AB142" s="5">
        <v>1340937.04</v>
      </c>
    </row>
    <row r="143" spans="1:28" ht="12.75">
      <c r="A143" s="5">
        <v>50</v>
      </c>
      <c r="B143" s="5">
        <v>0</v>
      </c>
      <c r="C143" s="5">
        <v>0</v>
      </c>
      <c r="D143" s="5">
        <v>1</v>
      </c>
      <c r="E143" s="5">
        <v>216</v>
      </c>
      <c r="F143" s="5">
        <f>ROUND(Source!AP134,O143)</f>
        <v>0</v>
      </c>
      <c r="G143" s="5" t="s">
        <v>141</v>
      </c>
      <c r="H143" s="5" t="s">
        <v>142</v>
      </c>
      <c r="I143" s="5"/>
      <c r="J143" s="5"/>
      <c r="K143" s="5">
        <v>216</v>
      </c>
      <c r="L143" s="5">
        <v>8</v>
      </c>
      <c r="M143" s="5">
        <v>3</v>
      </c>
      <c r="N143" s="5" t="s">
        <v>3</v>
      </c>
      <c r="O143" s="5">
        <v>2</v>
      </c>
      <c r="P143" s="5">
        <f>ROUND(Source!EH134,O143)</f>
        <v>0</v>
      </c>
      <c r="Q143" s="5"/>
      <c r="R143" s="5"/>
      <c r="S143" s="5"/>
      <c r="T143" s="5"/>
      <c r="U143" s="5"/>
      <c r="V143" s="5"/>
      <c r="W143" s="5">
        <v>0</v>
      </c>
      <c r="X143" s="5">
        <v>1</v>
      </c>
      <c r="Y143" s="5">
        <v>0</v>
      </c>
      <c r="Z143" s="5">
        <v>0</v>
      </c>
      <c r="AA143" s="5">
        <v>1</v>
      </c>
      <c r="AB143" s="5">
        <v>0</v>
      </c>
    </row>
    <row r="144" spans="1:28" ht="12.75">
      <c r="A144" s="5">
        <v>50</v>
      </c>
      <c r="B144" s="5">
        <v>0</v>
      </c>
      <c r="C144" s="5">
        <v>0</v>
      </c>
      <c r="D144" s="5">
        <v>1</v>
      </c>
      <c r="E144" s="5">
        <v>223</v>
      </c>
      <c r="F144" s="5">
        <f>ROUND(Source!AQ134,O144)</f>
        <v>0</v>
      </c>
      <c r="G144" s="5" t="s">
        <v>143</v>
      </c>
      <c r="H144" s="5" t="s">
        <v>144</v>
      </c>
      <c r="I144" s="5"/>
      <c r="J144" s="5"/>
      <c r="K144" s="5">
        <v>223</v>
      </c>
      <c r="L144" s="5">
        <v>9</v>
      </c>
      <c r="M144" s="5">
        <v>3</v>
      </c>
      <c r="N144" s="5" t="s">
        <v>3</v>
      </c>
      <c r="O144" s="5">
        <v>2</v>
      </c>
      <c r="P144" s="5">
        <f>ROUND(Source!EI134,O144)</f>
        <v>0</v>
      </c>
      <c r="Q144" s="5"/>
      <c r="R144" s="5"/>
      <c r="S144" s="5"/>
      <c r="T144" s="5"/>
      <c r="U144" s="5"/>
      <c r="V144" s="5"/>
      <c r="W144" s="5">
        <v>0</v>
      </c>
      <c r="X144" s="5">
        <v>1</v>
      </c>
      <c r="Y144" s="5">
        <v>0</v>
      </c>
      <c r="Z144" s="5">
        <v>0</v>
      </c>
      <c r="AA144" s="5">
        <v>1</v>
      </c>
      <c r="AB144" s="5">
        <v>0</v>
      </c>
    </row>
    <row r="145" spans="1:28" ht="12.75">
      <c r="A145" s="5">
        <v>50</v>
      </c>
      <c r="B145" s="5">
        <v>0</v>
      </c>
      <c r="C145" s="5">
        <v>0</v>
      </c>
      <c r="D145" s="5">
        <v>1</v>
      </c>
      <c r="E145" s="5">
        <v>229</v>
      </c>
      <c r="F145" s="5">
        <f>ROUND(Source!AZ134,O145)</f>
        <v>0</v>
      </c>
      <c r="G145" s="5" t="s">
        <v>145</v>
      </c>
      <c r="H145" s="5" t="s">
        <v>146</v>
      </c>
      <c r="I145" s="5"/>
      <c r="J145" s="5"/>
      <c r="K145" s="5">
        <v>229</v>
      </c>
      <c r="L145" s="5">
        <v>10</v>
      </c>
      <c r="M145" s="5">
        <v>3</v>
      </c>
      <c r="N145" s="5" t="s">
        <v>3</v>
      </c>
      <c r="O145" s="5">
        <v>2</v>
      </c>
      <c r="P145" s="5">
        <f>ROUND(Source!ER134,O145)</f>
        <v>0</v>
      </c>
      <c r="Q145" s="5"/>
      <c r="R145" s="5"/>
      <c r="S145" s="5"/>
      <c r="T145" s="5"/>
      <c r="U145" s="5"/>
      <c r="V145" s="5"/>
      <c r="W145" s="5">
        <v>0</v>
      </c>
      <c r="X145" s="5">
        <v>1</v>
      </c>
      <c r="Y145" s="5">
        <v>0</v>
      </c>
      <c r="Z145" s="5">
        <v>0</v>
      </c>
      <c r="AA145" s="5">
        <v>1</v>
      </c>
      <c r="AB145" s="5">
        <v>0</v>
      </c>
    </row>
    <row r="146" spans="1:28" ht="12.75">
      <c r="A146" s="5">
        <v>50</v>
      </c>
      <c r="B146" s="5">
        <v>0</v>
      </c>
      <c r="C146" s="5">
        <v>0</v>
      </c>
      <c r="D146" s="5">
        <v>1</v>
      </c>
      <c r="E146" s="5">
        <v>203</v>
      </c>
      <c r="F146" s="5">
        <f>ROUND(Source!Q134,O146)</f>
        <v>477.62</v>
      </c>
      <c r="G146" s="5" t="s">
        <v>147</v>
      </c>
      <c r="H146" s="5" t="s">
        <v>148</v>
      </c>
      <c r="I146" s="5"/>
      <c r="J146" s="5"/>
      <c r="K146" s="5">
        <v>203</v>
      </c>
      <c r="L146" s="5">
        <v>11</v>
      </c>
      <c r="M146" s="5">
        <v>3</v>
      </c>
      <c r="N146" s="5" t="s">
        <v>3</v>
      </c>
      <c r="O146" s="5">
        <v>2</v>
      </c>
      <c r="P146" s="5">
        <f>ROUND(Source!DI134,O146)</f>
        <v>6323.68</v>
      </c>
      <c r="Q146" s="5"/>
      <c r="R146" s="5"/>
      <c r="S146" s="5"/>
      <c r="T146" s="5"/>
      <c r="U146" s="5"/>
      <c r="V146" s="5"/>
      <c r="W146" s="5">
        <v>477.61999999999995</v>
      </c>
      <c r="X146" s="5">
        <v>1</v>
      </c>
      <c r="Y146" s="5">
        <v>477.61999999999995</v>
      </c>
      <c r="Z146" s="5">
        <v>6323.679999999999</v>
      </c>
      <c r="AA146" s="5">
        <v>1</v>
      </c>
      <c r="AB146" s="5">
        <v>6323.679999999999</v>
      </c>
    </row>
    <row r="147" spans="1:28" ht="12.75">
      <c r="A147" s="5">
        <v>50</v>
      </c>
      <c r="B147" s="5">
        <v>0</v>
      </c>
      <c r="C147" s="5">
        <v>0</v>
      </c>
      <c r="D147" s="5">
        <v>1</v>
      </c>
      <c r="E147" s="5">
        <v>231</v>
      </c>
      <c r="F147" s="5">
        <f>ROUND(Source!BB134,O147)</f>
        <v>0</v>
      </c>
      <c r="G147" s="5" t="s">
        <v>149</v>
      </c>
      <c r="H147" s="5" t="s">
        <v>150</v>
      </c>
      <c r="I147" s="5"/>
      <c r="J147" s="5"/>
      <c r="K147" s="5">
        <v>231</v>
      </c>
      <c r="L147" s="5">
        <v>12</v>
      </c>
      <c r="M147" s="5">
        <v>3</v>
      </c>
      <c r="N147" s="5" t="s">
        <v>3</v>
      </c>
      <c r="O147" s="5">
        <v>2</v>
      </c>
      <c r="P147" s="5">
        <f>ROUND(Source!ET134,O147)</f>
        <v>0</v>
      </c>
      <c r="Q147" s="5"/>
      <c r="R147" s="5"/>
      <c r="S147" s="5"/>
      <c r="T147" s="5"/>
      <c r="U147" s="5"/>
      <c r="V147" s="5"/>
      <c r="W147" s="5">
        <v>0</v>
      </c>
      <c r="X147" s="5">
        <v>1</v>
      </c>
      <c r="Y147" s="5">
        <v>0</v>
      </c>
      <c r="Z147" s="5">
        <v>0</v>
      </c>
      <c r="AA147" s="5">
        <v>1</v>
      </c>
      <c r="AB147" s="5">
        <v>0</v>
      </c>
    </row>
    <row r="148" spans="1:28" ht="12.75">
      <c r="A148" s="5">
        <v>50</v>
      </c>
      <c r="B148" s="5">
        <v>0</v>
      </c>
      <c r="C148" s="5">
        <v>0</v>
      </c>
      <c r="D148" s="5">
        <v>1</v>
      </c>
      <c r="E148" s="5">
        <v>204</v>
      </c>
      <c r="F148" s="5">
        <f>ROUND(Source!R134,O148)</f>
        <v>62.76</v>
      </c>
      <c r="G148" s="5" t="s">
        <v>151</v>
      </c>
      <c r="H148" s="5" t="s">
        <v>152</v>
      </c>
      <c r="I148" s="5"/>
      <c r="J148" s="5"/>
      <c r="K148" s="5">
        <v>204</v>
      </c>
      <c r="L148" s="5">
        <v>13</v>
      </c>
      <c r="M148" s="5">
        <v>3</v>
      </c>
      <c r="N148" s="5" t="s">
        <v>3</v>
      </c>
      <c r="O148" s="5">
        <v>2</v>
      </c>
      <c r="P148" s="5">
        <f>ROUND(Source!DJ134,O148)</f>
        <v>2343.26</v>
      </c>
      <c r="Q148" s="5"/>
      <c r="R148" s="5"/>
      <c r="S148" s="5"/>
      <c r="T148" s="5"/>
      <c r="U148" s="5"/>
      <c r="V148" s="5"/>
      <c r="W148" s="5">
        <v>62.760000000000005</v>
      </c>
      <c r="X148" s="5">
        <v>1</v>
      </c>
      <c r="Y148" s="5">
        <v>62.760000000000005</v>
      </c>
      <c r="Z148" s="5">
        <v>2343.2599999999998</v>
      </c>
      <c r="AA148" s="5">
        <v>1</v>
      </c>
      <c r="AB148" s="5">
        <v>2343.2599999999998</v>
      </c>
    </row>
    <row r="149" spans="1:28" ht="12.75">
      <c r="A149" s="5">
        <v>50</v>
      </c>
      <c r="B149" s="5">
        <v>0</v>
      </c>
      <c r="C149" s="5">
        <v>0</v>
      </c>
      <c r="D149" s="5">
        <v>1</v>
      </c>
      <c r="E149" s="5">
        <v>205</v>
      </c>
      <c r="F149" s="5">
        <f>ROUND(Source!S134,O149)</f>
        <v>1938.13</v>
      </c>
      <c r="G149" s="5" t="s">
        <v>153</v>
      </c>
      <c r="H149" s="5" t="s">
        <v>154</v>
      </c>
      <c r="I149" s="5"/>
      <c r="J149" s="5"/>
      <c r="K149" s="5">
        <v>205</v>
      </c>
      <c r="L149" s="5">
        <v>14</v>
      </c>
      <c r="M149" s="5">
        <v>3</v>
      </c>
      <c r="N149" s="5" t="s">
        <v>3</v>
      </c>
      <c r="O149" s="5">
        <v>2</v>
      </c>
      <c r="P149" s="5">
        <f>ROUND(Source!DK134,O149)</f>
        <v>72369.67</v>
      </c>
      <c r="Q149" s="5"/>
      <c r="R149" s="5"/>
      <c r="S149" s="5"/>
      <c r="T149" s="5"/>
      <c r="U149" s="5"/>
      <c r="V149" s="5"/>
      <c r="W149" s="5">
        <v>1938.1299999999999</v>
      </c>
      <c r="X149" s="5">
        <v>1</v>
      </c>
      <c r="Y149" s="5">
        <v>1938.1299999999999</v>
      </c>
      <c r="Z149" s="5">
        <v>72369.67</v>
      </c>
      <c r="AA149" s="5">
        <v>1</v>
      </c>
      <c r="AB149" s="5">
        <v>72369.67</v>
      </c>
    </row>
    <row r="150" spans="1:28" ht="12.75">
      <c r="A150" s="5">
        <v>50</v>
      </c>
      <c r="B150" s="5">
        <v>0</v>
      </c>
      <c r="C150" s="5">
        <v>0</v>
      </c>
      <c r="D150" s="5">
        <v>1</v>
      </c>
      <c r="E150" s="5">
        <v>232</v>
      </c>
      <c r="F150" s="5">
        <f>ROUND(Source!BC134,O150)</f>
        <v>0</v>
      </c>
      <c r="G150" s="5" t="s">
        <v>155</v>
      </c>
      <c r="H150" s="5" t="s">
        <v>156</v>
      </c>
      <c r="I150" s="5"/>
      <c r="J150" s="5"/>
      <c r="K150" s="5">
        <v>232</v>
      </c>
      <c r="L150" s="5">
        <v>15</v>
      </c>
      <c r="M150" s="5">
        <v>3</v>
      </c>
      <c r="N150" s="5" t="s">
        <v>3</v>
      </c>
      <c r="O150" s="5">
        <v>2</v>
      </c>
      <c r="P150" s="5">
        <f>ROUND(Source!EU134,O150)</f>
        <v>0</v>
      </c>
      <c r="Q150" s="5"/>
      <c r="R150" s="5"/>
      <c r="S150" s="5"/>
      <c r="T150" s="5"/>
      <c r="U150" s="5"/>
      <c r="V150" s="5"/>
      <c r="W150" s="5">
        <v>0</v>
      </c>
      <c r="X150" s="5">
        <v>1</v>
      </c>
      <c r="Y150" s="5">
        <v>0</v>
      </c>
      <c r="Z150" s="5">
        <v>0</v>
      </c>
      <c r="AA150" s="5">
        <v>1</v>
      </c>
      <c r="AB150" s="5">
        <v>0</v>
      </c>
    </row>
    <row r="151" spans="1:28" ht="12.75">
      <c r="A151" s="5">
        <v>50</v>
      </c>
      <c r="B151" s="5">
        <v>0</v>
      </c>
      <c r="C151" s="5">
        <v>0</v>
      </c>
      <c r="D151" s="5">
        <v>1</v>
      </c>
      <c r="E151" s="5">
        <v>214</v>
      </c>
      <c r="F151" s="5">
        <f>ROUND(Source!AS134,O151)</f>
        <v>1079864.56</v>
      </c>
      <c r="G151" s="5" t="s">
        <v>157</v>
      </c>
      <c r="H151" s="5" t="s">
        <v>158</v>
      </c>
      <c r="I151" s="5"/>
      <c r="J151" s="5"/>
      <c r="K151" s="5">
        <v>214</v>
      </c>
      <c r="L151" s="5">
        <v>16</v>
      </c>
      <c r="M151" s="5">
        <v>3</v>
      </c>
      <c r="N151" s="5" t="s">
        <v>3</v>
      </c>
      <c r="O151" s="5">
        <v>2</v>
      </c>
      <c r="P151" s="5">
        <f>ROUND(Source!EK134,O151)</f>
        <v>1276368.94</v>
      </c>
      <c r="Q151" s="5"/>
      <c r="R151" s="5"/>
      <c r="S151" s="5"/>
      <c r="T151" s="5"/>
      <c r="U151" s="5"/>
      <c r="V151" s="5"/>
      <c r="W151" s="5">
        <v>1079864.56</v>
      </c>
      <c r="X151" s="5">
        <v>1</v>
      </c>
      <c r="Y151" s="5">
        <v>1079864.56</v>
      </c>
      <c r="Z151" s="5">
        <v>1276368.94</v>
      </c>
      <c r="AA151" s="5">
        <v>1</v>
      </c>
      <c r="AB151" s="5">
        <v>1276368.94</v>
      </c>
    </row>
    <row r="152" spans="1:28" ht="12.75">
      <c r="A152" s="5">
        <v>50</v>
      </c>
      <c r="B152" s="5">
        <v>0</v>
      </c>
      <c r="C152" s="5">
        <v>0</v>
      </c>
      <c r="D152" s="5">
        <v>1</v>
      </c>
      <c r="E152" s="5">
        <v>215</v>
      </c>
      <c r="F152" s="5">
        <f>ROUND(Source!AT134,O152)</f>
        <v>256960</v>
      </c>
      <c r="G152" s="5" t="s">
        <v>159</v>
      </c>
      <c r="H152" s="5" t="s">
        <v>160</v>
      </c>
      <c r="I152" s="5"/>
      <c r="J152" s="5"/>
      <c r="K152" s="5">
        <v>215</v>
      </c>
      <c r="L152" s="5">
        <v>17</v>
      </c>
      <c r="M152" s="5">
        <v>3</v>
      </c>
      <c r="N152" s="5" t="s">
        <v>3</v>
      </c>
      <c r="O152" s="5">
        <v>2</v>
      </c>
      <c r="P152" s="5">
        <f>ROUND(Source!EL134,O152)</f>
        <v>256960</v>
      </c>
      <c r="Q152" s="5"/>
      <c r="R152" s="5"/>
      <c r="S152" s="5"/>
      <c r="T152" s="5"/>
      <c r="U152" s="5"/>
      <c r="V152" s="5"/>
      <c r="W152" s="5">
        <v>256960</v>
      </c>
      <c r="X152" s="5">
        <v>1</v>
      </c>
      <c r="Y152" s="5">
        <v>256960</v>
      </c>
      <c r="Z152" s="5">
        <v>256960</v>
      </c>
      <c r="AA152" s="5">
        <v>1</v>
      </c>
      <c r="AB152" s="5">
        <v>256960</v>
      </c>
    </row>
    <row r="153" spans="1:28" ht="12.75">
      <c r="A153" s="5">
        <v>50</v>
      </c>
      <c r="B153" s="5">
        <v>0</v>
      </c>
      <c r="C153" s="5">
        <v>0</v>
      </c>
      <c r="D153" s="5">
        <v>1</v>
      </c>
      <c r="E153" s="5">
        <v>217</v>
      </c>
      <c r="F153" s="5">
        <f>ROUND(Source!AU134,O153)</f>
        <v>0</v>
      </c>
      <c r="G153" s="5" t="s">
        <v>161</v>
      </c>
      <c r="H153" s="5" t="s">
        <v>162</v>
      </c>
      <c r="I153" s="5"/>
      <c r="J153" s="5"/>
      <c r="K153" s="5">
        <v>217</v>
      </c>
      <c r="L153" s="5">
        <v>18</v>
      </c>
      <c r="M153" s="5">
        <v>3</v>
      </c>
      <c r="N153" s="5" t="s">
        <v>3</v>
      </c>
      <c r="O153" s="5">
        <v>2</v>
      </c>
      <c r="P153" s="5">
        <f>ROUND(Source!EM134,O153)</f>
        <v>0</v>
      </c>
      <c r="Q153" s="5"/>
      <c r="R153" s="5"/>
      <c r="S153" s="5"/>
      <c r="T153" s="5"/>
      <c r="U153" s="5"/>
      <c r="V153" s="5"/>
      <c r="W153" s="5">
        <v>0</v>
      </c>
      <c r="X153" s="5">
        <v>1</v>
      </c>
      <c r="Y153" s="5">
        <v>0</v>
      </c>
      <c r="Z153" s="5">
        <v>0</v>
      </c>
      <c r="AA153" s="5">
        <v>1</v>
      </c>
      <c r="AB153" s="5">
        <v>0</v>
      </c>
    </row>
    <row r="154" spans="1:28" ht="12.75">
      <c r="A154" s="5">
        <v>50</v>
      </c>
      <c r="B154" s="5">
        <v>0</v>
      </c>
      <c r="C154" s="5">
        <v>0</v>
      </c>
      <c r="D154" s="5">
        <v>1</v>
      </c>
      <c r="E154" s="5">
        <v>230</v>
      </c>
      <c r="F154" s="5">
        <f>ROUND(Source!BA134,O154)</f>
        <v>0</v>
      </c>
      <c r="G154" s="5" t="s">
        <v>163</v>
      </c>
      <c r="H154" s="5" t="s">
        <v>164</v>
      </c>
      <c r="I154" s="5"/>
      <c r="J154" s="5"/>
      <c r="K154" s="5">
        <v>230</v>
      </c>
      <c r="L154" s="5">
        <v>19</v>
      </c>
      <c r="M154" s="5">
        <v>3</v>
      </c>
      <c r="N154" s="5" t="s">
        <v>3</v>
      </c>
      <c r="O154" s="5">
        <v>2</v>
      </c>
      <c r="P154" s="5">
        <f>ROUND(Source!ES134,O154)</f>
        <v>0</v>
      </c>
      <c r="Q154" s="5"/>
      <c r="R154" s="5"/>
      <c r="S154" s="5"/>
      <c r="T154" s="5"/>
      <c r="U154" s="5"/>
      <c r="V154" s="5"/>
      <c r="W154" s="5">
        <v>0</v>
      </c>
      <c r="X154" s="5">
        <v>1</v>
      </c>
      <c r="Y154" s="5">
        <v>0</v>
      </c>
      <c r="Z154" s="5">
        <v>0</v>
      </c>
      <c r="AA154" s="5">
        <v>1</v>
      </c>
      <c r="AB154" s="5">
        <v>0</v>
      </c>
    </row>
    <row r="155" spans="1:28" ht="12.75">
      <c r="A155" s="5">
        <v>50</v>
      </c>
      <c r="B155" s="5">
        <v>0</v>
      </c>
      <c r="C155" s="5">
        <v>0</v>
      </c>
      <c r="D155" s="5">
        <v>1</v>
      </c>
      <c r="E155" s="5">
        <v>206</v>
      </c>
      <c r="F155" s="5">
        <f>ROUND(Source!T134,O155)</f>
        <v>0</v>
      </c>
      <c r="G155" s="5" t="s">
        <v>165</v>
      </c>
      <c r="H155" s="5" t="s">
        <v>166</v>
      </c>
      <c r="I155" s="5"/>
      <c r="J155" s="5"/>
      <c r="K155" s="5">
        <v>206</v>
      </c>
      <c r="L155" s="5">
        <v>20</v>
      </c>
      <c r="M155" s="5">
        <v>3</v>
      </c>
      <c r="N155" s="5" t="s">
        <v>3</v>
      </c>
      <c r="O155" s="5">
        <v>2</v>
      </c>
      <c r="P155" s="5">
        <f>ROUND(Source!DL134,O155)</f>
        <v>0</v>
      </c>
      <c r="Q155" s="5"/>
      <c r="R155" s="5"/>
      <c r="S155" s="5"/>
      <c r="T155" s="5"/>
      <c r="U155" s="5"/>
      <c r="V155" s="5"/>
      <c r="W155" s="5">
        <v>0</v>
      </c>
      <c r="X155" s="5">
        <v>1</v>
      </c>
      <c r="Y155" s="5">
        <v>0</v>
      </c>
      <c r="Z155" s="5">
        <v>0</v>
      </c>
      <c r="AA155" s="5">
        <v>1</v>
      </c>
      <c r="AB155" s="5">
        <v>0</v>
      </c>
    </row>
    <row r="156" spans="1:28" ht="12.75">
      <c r="A156" s="5">
        <v>50</v>
      </c>
      <c r="B156" s="5">
        <v>0</v>
      </c>
      <c r="C156" s="5">
        <v>0</v>
      </c>
      <c r="D156" s="5">
        <v>1</v>
      </c>
      <c r="E156" s="5">
        <v>207</v>
      </c>
      <c r="F156" s="5">
        <f>Source!U134</f>
        <v>196.45770199999998</v>
      </c>
      <c r="G156" s="5" t="s">
        <v>167</v>
      </c>
      <c r="H156" s="5" t="s">
        <v>168</v>
      </c>
      <c r="I156" s="5"/>
      <c r="J156" s="5"/>
      <c r="K156" s="5">
        <v>207</v>
      </c>
      <c r="L156" s="5">
        <v>21</v>
      </c>
      <c r="M156" s="5">
        <v>3</v>
      </c>
      <c r="N156" s="5" t="s">
        <v>3</v>
      </c>
      <c r="O156" s="5">
        <v>-1</v>
      </c>
      <c r="P156" s="5">
        <f>Source!DM134</f>
        <v>196.45770199999998</v>
      </c>
      <c r="Q156" s="5"/>
      <c r="R156" s="5"/>
      <c r="S156" s="5"/>
      <c r="T156" s="5"/>
      <c r="U156" s="5"/>
      <c r="V156" s="5"/>
      <c r="W156" s="5">
        <v>196.457702</v>
      </c>
      <c r="X156" s="5">
        <v>1</v>
      </c>
      <c r="Y156" s="5">
        <v>196.457702</v>
      </c>
      <c r="Z156" s="5">
        <v>196.457702</v>
      </c>
      <c r="AA156" s="5">
        <v>1</v>
      </c>
      <c r="AB156" s="5">
        <v>196.457702</v>
      </c>
    </row>
    <row r="157" spans="1:28" ht="12.75">
      <c r="A157" s="5">
        <v>50</v>
      </c>
      <c r="B157" s="5">
        <v>0</v>
      </c>
      <c r="C157" s="5">
        <v>0</v>
      </c>
      <c r="D157" s="5">
        <v>1</v>
      </c>
      <c r="E157" s="5">
        <v>208</v>
      </c>
      <c r="F157" s="5">
        <f>Source!V134</f>
        <v>5.1020650000000005</v>
      </c>
      <c r="G157" s="5" t="s">
        <v>169</v>
      </c>
      <c r="H157" s="5" t="s">
        <v>170</v>
      </c>
      <c r="I157" s="5"/>
      <c r="J157" s="5"/>
      <c r="K157" s="5">
        <v>208</v>
      </c>
      <c r="L157" s="5">
        <v>22</v>
      </c>
      <c r="M157" s="5">
        <v>3</v>
      </c>
      <c r="N157" s="5" t="s">
        <v>3</v>
      </c>
      <c r="O157" s="5">
        <v>-1</v>
      </c>
      <c r="P157" s="5">
        <f>Source!DN134</f>
        <v>5.1020650000000005</v>
      </c>
      <c r="Q157" s="5"/>
      <c r="R157" s="5"/>
      <c r="S157" s="5"/>
      <c r="T157" s="5"/>
      <c r="U157" s="5"/>
      <c r="V157" s="5"/>
      <c r="W157" s="5">
        <v>5.102065</v>
      </c>
      <c r="X157" s="5">
        <v>1</v>
      </c>
      <c r="Y157" s="5">
        <v>5.102065</v>
      </c>
      <c r="Z157" s="5">
        <v>5.102065</v>
      </c>
      <c r="AA157" s="5">
        <v>1</v>
      </c>
      <c r="AB157" s="5">
        <v>5.102065</v>
      </c>
    </row>
    <row r="158" spans="1:28" ht="12.75">
      <c r="A158" s="5">
        <v>50</v>
      </c>
      <c r="B158" s="5">
        <v>0</v>
      </c>
      <c r="C158" s="5">
        <v>0</v>
      </c>
      <c r="D158" s="5">
        <v>1</v>
      </c>
      <c r="E158" s="5">
        <v>209</v>
      </c>
      <c r="F158" s="5">
        <f>ROUND(Source!W134,O158)</f>
        <v>0</v>
      </c>
      <c r="G158" s="5" t="s">
        <v>171</v>
      </c>
      <c r="H158" s="5" t="s">
        <v>172</v>
      </c>
      <c r="I158" s="5"/>
      <c r="J158" s="5"/>
      <c r="K158" s="5">
        <v>209</v>
      </c>
      <c r="L158" s="5">
        <v>23</v>
      </c>
      <c r="M158" s="5">
        <v>3</v>
      </c>
      <c r="N158" s="5" t="s">
        <v>3</v>
      </c>
      <c r="O158" s="5">
        <v>2</v>
      </c>
      <c r="P158" s="5">
        <f>ROUND(Source!DO134,O158)</f>
        <v>0</v>
      </c>
      <c r="Q158" s="5"/>
      <c r="R158" s="5"/>
      <c r="S158" s="5"/>
      <c r="T158" s="5"/>
      <c r="U158" s="5"/>
      <c r="V158" s="5"/>
      <c r="W158" s="5">
        <v>0</v>
      </c>
      <c r="X158" s="5">
        <v>1</v>
      </c>
      <c r="Y158" s="5">
        <v>0</v>
      </c>
      <c r="Z158" s="5">
        <v>0</v>
      </c>
      <c r="AA158" s="5">
        <v>1</v>
      </c>
      <c r="AB158" s="5">
        <v>0</v>
      </c>
    </row>
    <row r="159" spans="1:28" ht="12.75">
      <c r="A159" s="5">
        <v>50</v>
      </c>
      <c r="B159" s="5">
        <v>0</v>
      </c>
      <c r="C159" s="5">
        <v>0</v>
      </c>
      <c r="D159" s="5">
        <v>1</v>
      </c>
      <c r="E159" s="5">
        <v>233</v>
      </c>
      <c r="F159" s="5">
        <f>ROUND(Source!BD134,O159)</f>
        <v>126.63</v>
      </c>
      <c r="G159" s="5" t="s">
        <v>173</v>
      </c>
      <c r="H159" s="5" t="s">
        <v>174</v>
      </c>
      <c r="I159" s="5"/>
      <c r="J159" s="5"/>
      <c r="K159" s="5">
        <v>233</v>
      </c>
      <c r="L159" s="5">
        <v>24</v>
      </c>
      <c r="M159" s="5">
        <v>3</v>
      </c>
      <c r="N159" s="5" t="s">
        <v>3</v>
      </c>
      <c r="O159" s="5">
        <v>2</v>
      </c>
      <c r="P159" s="5">
        <f>ROUND(Source!EV134,O159)</f>
        <v>1676.64</v>
      </c>
      <c r="Q159" s="5"/>
      <c r="R159" s="5"/>
      <c r="S159" s="5"/>
      <c r="T159" s="5"/>
      <c r="U159" s="5"/>
      <c r="V159" s="5"/>
      <c r="W159" s="5">
        <v>126.63</v>
      </c>
      <c r="X159" s="5">
        <v>1</v>
      </c>
      <c r="Y159" s="5">
        <v>126.63</v>
      </c>
      <c r="Z159" s="5">
        <v>1676.64</v>
      </c>
      <c r="AA159" s="5">
        <v>1</v>
      </c>
      <c r="AB159" s="5">
        <v>1676.64</v>
      </c>
    </row>
    <row r="160" spans="1:28" ht="12.75">
      <c r="A160" s="5">
        <v>50</v>
      </c>
      <c r="B160" s="5">
        <v>0</v>
      </c>
      <c r="C160" s="5">
        <v>0</v>
      </c>
      <c r="D160" s="5">
        <v>1</v>
      </c>
      <c r="E160" s="5">
        <v>210</v>
      </c>
      <c r="F160" s="5">
        <f>ROUND(Source!X134,O160)</f>
        <v>1882.86</v>
      </c>
      <c r="G160" s="5" t="s">
        <v>175</v>
      </c>
      <c r="H160" s="5" t="s">
        <v>176</v>
      </c>
      <c r="I160" s="5"/>
      <c r="J160" s="5"/>
      <c r="K160" s="5">
        <v>210</v>
      </c>
      <c r="L160" s="5">
        <v>25</v>
      </c>
      <c r="M160" s="5">
        <v>3</v>
      </c>
      <c r="N160" s="5" t="s">
        <v>3</v>
      </c>
      <c r="O160" s="5">
        <v>2</v>
      </c>
      <c r="P160" s="5">
        <f>ROUND(Source!DP134,O160)</f>
        <v>70305.36</v>
      </c>
      <c r="Q160" s="5"/>
      <c r="R160" s="5"/>
      <c r="S160" s="5"/>
      <c r="T160" s="5"/>
      <c r="U160" s="5"/>
      <c r="V160" s="5"/>
      <c r="W160" s="5">
        <v>1882.86</v>
      </c>
      <c r="X160" s="5">
        <v>1</v>
      </c>
      <c r="Y160" s="5">
        <v>1882.86</v>
      </c>
      <c r="Z160" s="5">
        <v>70305.36</v>
      </c>
      <c r="AA160" s="5">
        <v>1</v>
      </c>
      <c r="AB160" s="5">
        <v>70305.36</v>
      </c>
    </row>
    <row r="161" spans="1:28" ht="12.75">
      <c r="A161" s="5">
        <v>50</v>
      </c>
      <c r="B161" s="5">
        <v>0</v>
      </c>
      <c r="C161" s="5">
        <v>0</v>
      </c>
      <c r="D161" s="5">
        <v>1</v>
      </c>
      <c r="E161" s="5">
        <v>211</v>
      </c>
      <c r="F161" s="5">
        <f>ROUND(Source!Y134,O161)</f>
        <v>1117.21</v>
      </c>
      <c r="G161" s="5" t="s">
        <v>177</v>
      </c>
      <c r="H161" s="5" t="s">
        <v>178</v>
      </c>
      <c r="I161" s="5"/>
      <c r="J161" s="5"/>
      <c r="K161" s="5">
        <v>211</v>
      </c>
      <c r="L161" s="5">
        <v>26</v>
      </c>
      <c r="M161" s="5">
        <v>3</v>
      </c>
      <c r="N161" s="5" t="s">
        <v>3</v>
      </c>
      <c r="O161" s="5">
        <v>2</v>
      </c>
      <c r="P161" s="5">
        <f>ROUND(Source!DQ134,O161)</f>
        <v>41716.55</v>
      </c>
      <c r="Q161" s="5"/>
      <c r="R161" s="5"/>
      <c r="S161" s="5"/>
      <c r="T161" s="5"/>
      <c r="U161" s="5"/>
      <c r="V161" s="5"/>
      <c r="W161" s="5">
        <v>1117.21</v>
      </c>
      <c r="X161" s="5">
        <v>1</v>
      </c>
      <c r="Y161" s="5">
        <v>1117.21</v>
      </c>
      <c r="Z161" s="5">
        <v>41716.55</v>
      </c>
      <c r="AA161" s="5">
        <v>1</v>
      </c>
      <c r="AB161" s="5">
        <v>41716.55</v>
      </c>
    </row>
    <row r="162" spans="1:28" ht="12.75">
      <c r="A162" s="5">
        <v>50</v>
      </c>
      <c r="B162" s="5">
        <v>0</v>
      </c>
      <c r="C162" s="5">
        <v>0</v>
      </c>
      <c r="D162" s="5">
        <v>1</v>
      </c>
      <c r="E162" s="5">
        <v>0</v>
      </c>
      <c r="F162" s="5">
        <f>ROUND(Source!AR134,O162)</f>
        <v>1336824.56</v>
      </c>
      <c r="G162" s="5" t="s">
        <v>179</v>
      </c>
      <c r="H162" s="5" t="s">
        <v>180</v>
      </c>
      <c r="I162" s="5"/>
      <c r="J162" s="5"/>
      <c r="K162" s="5">
        <v>224</v>
      </c>
      <c r="L162" s="5">
        <v>27</v>
      </c>
      <c r="M162" s="5">
        <v>3</v>
      </c>
      <c r="N162" s="5" t="s">
        <v>3</v>
      </c>
      <c r="O162" s="5">
        <v>2</v>
      </c>
      <c r="P162" s="5">
        <f>ROUND(Source!EJ134,O162)</f>
        <v>1533328.94</v>
      </c>
      <c r="Q162" s="5"/>
      <c r="R162" s="5"/>
      <c r="S162" s="5"/>
      <c r="T162" s="5"/>
      <c r="U162" s="5"/>
      <c r="V162" s="5"/>
      <c r="W162" s="5">
        <v>1336824.56</v>
      </c>
      <c r="X162" s="5">
        <v>1</v>
      </c>
      <c r="Y162" s="5">
        <v>1336824.56</v>
      </c>
      <c r="Z162" s="5">
        <v>1533328.9400000002</v>
      </c>
      <c r="AA162" s="5">
        <v>1</v>
      </c>
      <c r="AB162" s="5">
        <v>1533328.9400000002</v>
      </c>
    </row>
    <row r="163" spans="1:28" ht="12.75">
      <c r="A163" s="5">
        <v>50</v>
      </c>
      <c r="B163" s="5">
        <v>1</v>
      </c>
      <c r="C163" s="5">
        <v>0</v>
      </c>
      <c r="D163" s="5">
        <v>2</v>
      </c>
      <c r="E163" s="5">
        <v>0</v>
      </c>
      <c r="F163" s="5">
        <f>ROUND(F140,O163)</f>
        <v>1331282.11</v>
      </c>
      <c r="G163" s="5" t="s">
        <v>198</v>
      </c>
      <c r="H163" s="5" t="s">
        <v>198</v>
      </c>
      <c r="I163" s="5"/>
      <c r="J163" s="5"/>
      <c r="K163" s="5">
        <v>212</v>
      </c>
      <c r="L163" s="5">
        <v>28</v>
      </c>
      <c r="M163" s="5">
        <v>0</v>
      </c>
      <c r="N163" s="5" t="s">
        <v>3</v>
      </c>
      <c r="O163" s="5">
        <v>2</v>
      </c>
      <c r="P163" s="5">
        <f>ROUND(P140,O163)</f>
        <v>1340937.04</v>
      </c>
      <c r="Q163" s="5"/>
      <c r="R163" s="5"/>
      <c r="S163" s="5"/>
      <c r="T163" s="5"/>
      <c r="U163" s="5"/>
      <c r="V163" s="5"/>
      <c r="W163" s="5">
        <v>1331282.11</v>
      </c>
      <c r="X163" s="5">
        <v>1</v>
      </c>
      <c r="Y163" s="5">
        <v>1331282.11</v>
      </c>
      <c r="Z163" s="5">
        <v>1340937.04</v>
      </c>
      <c r="AA163" s="5">
        <v>1</v>
      </c>
      <c r="AB163" s="5">
        <v>1340937.04</v>
      </c>
    </row>
    <row r="164" spans="1:28" ht="12.75">
      <c r="A164" s="5">
        <v>50</v>
      </c>
      <c r="B164" s="5">
        <v>1</v>
      </c>
      <c r="C164" s="5">
        <v>0</v>
      </c>
      <c r="D164" s="5">
        <v>2</v>
      </c>
      <c r="E164" s="5">
        <v>0</v>
      </c>
      <c r="F164" s="5">
        <f>ROUND(F162,O164)</f>
        <v>1336824.56</v>
      </c>
      <c r="G164" s="5" t="s">
        <v>199</v>
      </c>
      <c r="H164" s="5" t="s">
        <v>199</v>
      </c>
      <c r="I164" s="5"/>
      <c r="J164" s="5"/>
      <c r="K164" s="5">
        <v>212</v>
      </c>
      <c r="L164" s="5">
        <v>29</v>
      </c>
      <c r="M164" s="5">
        <v>0</v>
      </c>
      <c r="N164" s="5" t="s">
        <v>3</v>
      </c>
      <c r="O164" s="5">
        <v>2</v>
      </c>
      <c r="P164" s="5">
        <f>ROUND(P162,O164)</f>
        <v>1533328.94</v>
      </c>
      <c r="Q164" s="5"/>
      <c r="R164" s="5"/>
      <c r="S164" s="5"/>
      <c r="T164" s="5"/>
      <c r="U164" s="5"/>
      <c r="V164" s="5"/>
      <c r="W164" s="5">
        <v>1336824.56</v>
      </c>
      <c r="X164" s="5">
        <v>1</v>
      </c>
      <c r="Y164" s="5">
        <v>1336824.56</v>
      </c>
      <c r="Z164" s="5">
        <v>1533328.94</v>
      </c>
      <c r="AA164" s="5">
        <v>1</v>
      </c>
      <c r="AB164" s="5">
        <v>1533328.94</v>
      </c>
    </row>
    <row r="165" spans="1:28" ht="12.75">
      <c r="A165" s="5">
        <v>50</v>
      </c>
      <c r="B165" s="5">
        <v>1</v>
      </c>
      <c r="C165" s="5">
        <v>0</v>
      </c>
      <c r="D165" s="5">
        <v>2</v>
      </c>
      <c r="E165" s="5">
        <v>0</v>
      </c>
      <c r="F165" s="5">
        <f>ROUND(F164*0.2,O165)</f>
        <v>267364.91</v>
      </c>
      <c r="G165" s="5" t="s">
        <v>200</v>
      </c>
      <c r="H165" s="5" t="s">
        <v>201</v>
      </c>
      <c r="I165" s="5"/>
      <c r="J165" s="5"/>
      <c r="K165" s="5">
        <v>212</v>
      </c>
      <c r="L165" s="5">
        <v>32</v>
      </c>
      <c r="M165" s="5">
        <v>0</v>
      </c>
      <c r="N165" s="5" t="s">
        <v>3</v>
      </c>
      <c r="O165" s="5">
        <v>2</v>
      </c>
      <c r="P165" s="5">
        <f>ROUND(P164*0.2,O165)</f>
        <v>306665.79</v>
      </c>
      <c r="Q165" s="5"/>
      <c r="R165" s="5"/>
      <c r="S165" s="5"/>
      <c r="T165" s="5"/>
      <c r="U165" s="5"/>
      <c r="V165" s="5"/>
      <c r="W165" s="5">
        <v>267364.91</v>
      </c>
      <c r="X165" s="5">
        <v>1</v>
      </c>
      <c r="Y165" s="5">
        <v>267364.91</v>
      </c>
      <c r="Z165" s="5">
        <v>306665.79</v>
      </c>
      <c r="AA165" s="5">
        <v>1</v>
      </c>
      <c r="AB165" s="5">
        <v>306665.79</v>
      </c>
    </row>
    <row r="166" spans="1:28" ht="12.75">
      <c r="A166" s="5">
        <v>50</v>
      </c>
      <c r="B166" s="5">
        <v>1</v>
      </c>
      <c r="C166" s="5">
        <v>0</v>
      </c>
      <c r="D166" s="5">
        <v>2</v>
      </c>
      <c r="E166" s="5">
        <v>224</v>
      </c>
      <c r="F166" s="5">
        <f>ROUND(F164+F165,O166)</f>
        <v>1604189.47</v>
      </c>
      <c r="G166" s="5" t="s">
        <v>202</v>
      </c>
      <c r="H166" s="5" t="s">
        <v>203</v>
      </c>
      <c r="I166" s="5"/>
      <c r="J166" s="5"/>
      <c r="K166" s="5">
        <v>212</v>
      </c>
      <c r="L166" s="5">
        <v>33</v>
      </c>
      <c r="M166" s="5">
        <v>0</v>
      </c>
      <c r="N166" s="5" t="s">
        <v>3</v>
      </c>
      <c r="O166" s="5">
        <v>2</v>
      </c>
      <c r="P166" s="5">
        <f>ROUND(P164+P165,O166)</f>
        <v>1839994.73</v>
      </c>
      <c r="Q166" s="5"/>
      <c r="R166" s="5"/>
      <c r="S166" s="5"/>
      <c r="T166" s="5"/>
      <c r="U166" s="5"/>
      <c r="V166" s="5"/>
      <c r="W166" s="5">
        <v>1604189.47</v>
      </c>
      <c r="X166" s="5">
        <v>1</v>
      </c>
      <c r="Y166" s="5">
        <v>1604189.47</v>
      </c>
      <c r="Z166" s="5">
        <v>1839994.73</v>
      </c>
      <c r="AA166" s="5">
        <v>1</v>
      </c>
      <c r="AB166" s="5">
        <v>1839994.73</v>
      </c>
    </row>
    <row r="168" spans="1:206" ht="12.75">
      <c r="A168" s="3">
        <v>51</v>
      </c>
      <c r="B168" s="3">
        <f>B12</f>
        <v>232</v>
      </c>
      <c r="C168" s="3">
        <f>A12</f>
        <v>1</v>
      </c>
      <c r="D168" s="3">
        <f>ROW(A12)</f>
        <v>12</v>
      </c>
      <c r="E168" s="3"/>
      <c r="F168" s="3">
        <f>IF(F12&lt;&gt;"",F12,"")</f>
      </c>
      <c r="G168" s="3" t="str">
        <f>IF(G12&lt;&gt;"",G12,"")</f>
        <v>Выполнение работ по замене светопрозрачных перегородок входа в блок 1 строения № 1 ИПУ РАН</v>
      </c>
      <c r="H168" s="3">
        <v>0</v>
      </c>
      <c r="I168" s="3"/>
      <c r="J168" s="3"/>
      <c r="K168" s="3"/>
      <c r="L168" s="3"/>
      <c r="M168" s="3"/>
      <c r="N168" s="3"/>
      <c r="O168" s="3">
        <f aca="true" t="shared" si="82" ref="O168:T168">ROUND(O134,2)</f>
        <v>1333697.86</v>
      </c>
      <c r="P168" s="3">
        <f t="shared" si="82"/>
        <v>1331282.11</v>
      </c>
      <c r="Q168" s="3">
        <f t="shared" si="82"/>
        <v>477.62</v>
      </c>
      <c r="R168" s="3">
        <f t="shared" si="82"/>
        <v>62.76</v>
      </c>
      <c r="S168" s="3">
        <f t="shared" si="82"/>
        <v>1938.13</v>
      </c>
      <c r="T168" s="3">
        <f t="shared" si="82"/>
        <v>0</v>
      </c>
      <c r="U168" s="3">
        <f>U134</f>
        <v>196.45770199999998</v>
      </c>
      <c r="V168" s="3">
        <f>V134</f>
        <v>5.1020650000000005</v>
      </c>
      <c r="W168" s="3">
        <f>ROUND(W134,2)</f>
        <v>0</v>
      </c>
      <c r="X168" s="3">
        <f>ROUND(X134,2)</f>
        <v>1882.86</v>
      </c>
      <c r="Y168" s="3">
        <f>ROUND(Y134,2)</f>
        <v>1117.21</v>
      </c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>
        <f aca="true" t="shared" si="83" ref="AO168:BD168">ROUND(AO134,2)</f>
        <v>0</v>
      </c>
      <c r="AP168" s="3">
        <f t="shared" si="83"/>
        <v>0</v>
      </c>
      <c r="AQ168" s="3">
        <f t="shared" si="83"/>
        <v>0</v>
      </c>
      <c r="AR168" s="3">
        <f t="shared" si="83"/>
        <v>1336824.56</v>
      </c>
      <c r="AS168" s="3">
        <f t="shared" si="83"/>
        <v>1079864.56</v>
      </c>
      <c r="AT168" s="3">
        <f t="shared" si="83"/>
        <v>256960</v>
      </c>
      <c r="AU168" s="3">
        <f t="shared" si="83"/>
        <v>0</v>
      </c>
      <c r="AV168" s="3">
        <f t="shared" si="83"/>
        <v>1331282.11</v>
      </c>
      <c r="AW168" s="3">
        <f t="shared" si="83"/>
        <v>1331282.11</v>
      </c>
      <c r="AX168" s="3">
        <f t="shared" si="83"/>
        <v>0</v>
      </c>
      <c r="AY168" s="3">
        <f t="shared" si="83"/>
        <v>1331282.11</v>
      </c>
      <c r="AZ168" s="3">
        <f t="shared" si="83"/>
        <v>0</v>
      </c>
      <c r="BA168" s="3">
        <f t="shared" si="83"/>
        <v>0</v>
      </c>
      <c r="BB168" s="3">
        <f t="shared" si="83"/>
        <v>0</v>
      </c>
      <c r="BC168" s="3">
        <f t="shared" si="83"/>
        <v>0</v>
      </c>
      <c r="BD168" s="3">
        <f t="shared" si="83"/>
        <v>126.63</v>
      </c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4">
        <f aca="true" t="shared" si="84" ref="DG168:DL168">ROUND(DG134,2)</f>
        <v>1419630.39</v>
      </c>
      <c r="DH168" s="4">
        <f t="shared" si="84"/>
        <v>1340937.04</v>
      </c>
      <c r="DI168" s="4">
        <f t="shared" si="84"/>
        <v>6323.68</v>
      </c>
      <c r="DJ168" s="4">
        <f t="shared" si="84"/>
        <v>2343.26</v>
      </c>
      <c r="DK168" s="4">
        <f t="shared" si="84"/>
        <v>72369.67</v>
      </c>
      <c r="DL168" s="4">
        <f t="shared" si="84"/>
        <v>0</v>
      </c>
      <c r="DM168" s="4">
        <f>DM134</f>
        <v>196.45770199999998</v>
      </c>
      <c r="DN168" s="4">
        <f>DN134</f>
        <v>5.1020650000000005</v>
      </c>
      <c r="DO168" s="4">
        <f>ROUND(DO134,2)</f>
        <v>0</v>
      </c>
      <c r="DP168" s="4">
        <f>ROUND(DP134,2)</f>
        <v>70305.36</v>
      </c>
      <c r="DQ168" s="4">
        <f>ROUND(DQ134,2)</f>
        <v>41716.55</v>
      </c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>
        <f aca="true" t="shared" si="85" ref="EG168:EV168">ROUND(EG134,2)</f>
        <v>0</v>
      </c>
      <c r="EH168" s="4">
        <f t="shared" si="85"/>
        <v>0</v>
      </c>
      <c r="EI168" s="4">
        <f t="shared" si="85"/>
        <v>0</v>
      </c>
      <c r="EJ168" s="4">
        <f t="shared" si="85"/>
        <v>1533328.94</v>
      </c>
      <c r="EK168" s="4">
        <f t="shared" si="85"/>
        <v>1276368.94</v>
      </c>
      <c r="EL168" s="4">
        <f t="shared" si="85"/>
        <v>256960</v>
      </c>
      <c r="EM168" s="4">
        <f t="shared" si="85"/>
        <v>0</v>
      </c>
      <c r="EN168" s="4">
        <f t="shared" si="85"/>
        <v>1340937.04</v>
      </c>
      <c r="EO168" s="4">
        <f t="shared" si="85"/>
        <v>1340937.04</v>
      </c>
      <c r="EP168" s="4">
        <f t="shared" si="85"/>
        <v>0</v>
      </c>
      <c r="EQ168" s="4">
        <f t="shared" si="85"/>
        <v>1340937.04</v>
      </c>
      <c r="ER168" s="4">
        <f t="shared" si="85"/>
        <v>0</v>
      </c>
      <c r="ES168" s="4">
        <f t="shared" si="85"/>
        <v>0</v>
      </c>
      <c r="ET168" s="4">
        <f t="shared" si="85"/>
        <v>0</v>
      </c>
      <c r="EU168" s="4">
        <f t="shared" si="85"/>
        <v>0</v>
      </c>
      <c r="EV168" s="4">
        <f t="shared" si="85"/>
        <v>1676.64</v>
      </c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4"/>
      <c r="GA168" s="4"/>
      <c r="GB168" s="4"/>
      <c r="GC168" s="4"/>
      <c r="GD168" s="4"/>
      <c r="GE168" s="4"/>
      <c r="GF168" s="4"/>
      <c r="GG168" s="4"/>
      <c r="GH168" s="4"/>
      <c r="GI168" s="4"/>
      <c r="GJ168" s="4"/>
      <c r="GK168" s="4"/>
      <c r="GL168" s="4"/>
      <c r="GM168" s="4"/>
      <c r="GN168" s="4"/>
      <c r="GO168" s="4"/>
      <c r="GP168" s="4"/>
      <c r="GQ168" s="4"/>
      <c r="GR168" s="4"/>
      <c r="GS168" s="4"/>
      <c r="GT168" s="4"/>
      <c r="GU168" s="4"/>
      <c r="GV168" s="4"/>
      <c r="GW168" s="4"/>
      <c r="GX168" s="4">
        <v>0</v>
      </c>
    </row>
    <row r="170" spans="1:28" ht="12.75">
      <c r="A170" s="5">
        <v>50</v>
      </c>
      <c r="B170" s="5">
        <v>0</v>
      </c>
      <c r="C170" s="5">
        <v>0</v>
      </c>
      <c r="D170" s="5">
        <v>1</v>
      </c>
      <c r="E170" s="5">
        <v>201</v>
      </c>
      <c r="F170" s="5">
        <f>ROUND(Source!O168,O170)</f>
        <v>1333697.86</v>
      </c>
      <c r="G170" s="5" t="s">
        <v>127</v>
      </c>
      <c r="H170" s="5" t="s">
        <v>128</v>
      </c>
      <c r="I170" s="5"/>
      <c r="J170" s="5"/>
      <c r="K170" s="5">
        <v>201</v>
      </c>
      <c r="L170" s="5">
        <v>1</v>
      </c>
      <c r="M170" s="5">
        <v>3</v>
      </c>
      <c r="N170" s="5" t="s">
        <v>3</v>
      </c>
      <c r="O170" s="5">
        <v>2</v>
      </c>
      <c r="P170" s="5">
        <f>ROUND(Source!DG168,O170)</f>
        <v>1419630.39</v>
      </c>
      <c r="Q170" s="5"/>
      <c r="R170" s="5"/>
      <c r="S170" s="5"/>
      <c r="T170" s="5"/>
      <c r="U170" s="5"/>
      <c r="V170" s="5"/>
      <c r="W170" s="5">
        <v>1333824.49</v>
      </c>
      <c r="X170" s="5">
        <v>1</v>
      </c>
      <c r="Y170" s="5">
        <v>1333824.49</v>
      </c>
      <c r="Z170" s="5">
        <v>1421307.03</v>
      </c>
      <c r="AA170" s="5">
        <v>1</v>
      </c>
      <c r="AB170" s="5">
        <v>1421307.03</v>
      </c>
    </row>
    <row r="171" spans="1:28" ht="12.75">
      <c r="A171" s="5">
        <v>50</v>
      </c>
      <c r="B171" s="5">
        <v>0</v>
      </c>
      <c r="C171" s="5">
        <v>0</v>
      </c>
      <c r="D171" s="5">
        <v>1</v>
      </c>
      <c r="E171" s="5">
        <v>202</v>
      </c>
      <c r="F171" s="5">
        <f>ROUND(Source!P168,O171)</f>
        <v>1331282.11</v>
      </c>
      <c r="G171" s="5" t="s">
        <v>129</v>
      </c>
      <c r="H171" s="5" t="s">
        <v>130</v>
      </c>
      <c r="I171" s="5"/>
      <c r="J171" s="5"/>
      <c r="K171" s="5">
        <v>202</v>
      </c>
      <c r="L171" s="5">
        <v>2</v>
      </c>
      <c r="M171" s="5">
        <v>3</v>
      </c>
      <c r="N171" s="5" t="s">
        <v>3</v>
      </c>
      <c r="O171" s="5">
        <v>2</v>
      </c>
      <c r="P171" s="5">
        <f>ROUND(Source!DH168,O171)</f>
        <v>1340937.04</v>
      </c>
      <c r="Q171" s="5"/>
      <c r="R171" s="5"/>
      <c r="S171" s="5"/>
      <c r="T171" s="5"/>
      <c r="U171" s="5"/>
      <c r="V171" s="5"/>
      <c r="W171" s="5">
        <v>1331282.11</v>
      </c>
      <c r="X171" s="5">
        <v>1</v>
      </c>
      <c r="Y171" s="5">
        <v>1331282.11</v>
      </c>
      <c r="Z171" s="5">
        <v>1340937.04</v>
      </c>
      <c r="AA171" s="5">
        <v>1</v>
      </c>
      <c r="AB171" s="5">
        <v>1340937.04</v>
      </c>
    </row>
    <row r="172" spans="1:28" ht="12.75">
      <c r="A172" s="5">
        <v>50</v>
      </c>
      <c r="B172" s="5">
        <v>0</v>
      </c>
      <c r="C172" s="5">
        <v>0</v>
      </c>
      <c r="D172" s="5">
        <v>1</v>
      </c>
      <c r="E172" s="5">
        <v>222</v>
      </c>
      <c r="F172" s="5">
        <f>ROUND(Source!AO168,O172)</f>
        <v>0</v>
      </c>
      <c r="G172" s="5" t="s">
        <v>131</v>
      </c>
      <c r="H172" s="5" t="s">
        <v>132</v>
      </c>
      <c r="I172" s="5"/>
      <c r="J172" s="5"/>
      <c r="K172" s="5">
        <v>222</v>
      </c>
      <c r="L172" s="5">
        <v>3</v>
      </c>
      <c r="M172" s="5">
        <v>3</v>
      </c>
      <c r="N172" s="5" t="s">
        <v>3</v>
      </c>
      <c r="O172" s="5">
        <v>2</v>
      </c>
      <c r="P172" s="5">
        <f>ROUND(Source!EG168,O172)</f>
        <v>0</v>
      </c>
      <c r="Q172" s="5"/>
      <c r="R172" s="5"/>
      <c r="S172" s="5"/>
      <c r="T172" s="5"/>
      <c r="U172" s="5"/>
      <c r="V172" s="5"/>
      <c r="W172" s="5">
        <v>0</v>
      </c>
      <c r="X172" s="5">
        <v>1</v>
      </c>
      <c r="Y172" s="5">
        <v>0</v>
      </c>
      <c r="Z172" s="5">
        <v>0</v>
      </c>
      <c r="AA172" s="5">
        <v>1</v>
      </c>
      <c r="AB172" s="5">
        <v>0</v>
      </c>
    </row>
    <row r="173" spans="1:28" ht="12.75">
      <c r="A173" s="5">
        <v>50</v>
      </c>
      <c r="B173" s="5">
        <v>0</v>
      </c>
      <c r="C173" s="5">
        <v>0</v>
      </c>
      <c r="D173" s="5">
        <v>1</v>
      </c>
      <c r="E173" s="5">
        <v>225</v>
      </c>
      <c r="F173" s="5">
        <f>ROUND(Source!AV168,O173)</f>
        <v>1331282.11</v>
      </c>
      <c r="G173" s="5" t="s">
        <v>133</v>
      </c>
      <c r="H173" s="5" t="s">
        <v>134</v>
      </c>
      <c r="I173" s="5"/>
      <c r="J173" s="5"/>
      <c r="K173" s="5">
        <v>225</v>
      </c>
      <c r="L173" s="5">
        <v>4</v>
      </c>
      <c r="M173" s="5">
        <v>3</v>
      </c>
      <c r="N173" s="5" t="s">
        <v>3</v>
      </c>
      <c r="O173" s="5">
        <v>2</v>
      </c>
      <c r="P173" s="5">
        <f>ROUND(Source!EN168,O173)</f>
        <v>1340937.04</v>
      </c>
      <c r="Q173" s="5"/>
      <c r="R173" s="5"/>
      <c r="S173" s="5"/>
      <c r="T173" s="5"/>
      <c r="U173" s="5"/>
      <c r="V173" s="5"/>
      <c r="W173" s="5">
        <v>1331282.11</v>
      </c>
      <c r="X173" s="5">
        <v>1</v>
      </c>
      <c r="Y173" s="5">
        <v>1331282.11</v>
      </c>
      <c r="Z173" s="5">
        <v>1340937.04</v>
      </c>
      <c r="AA173" s="5">
        <v>1</v>
      </c>
      <c r="AB173" s="5">
        <v>1340937.04</v>
      </c>
    </row>
    <row r="174" spans="1:28" ht="12.75">
      <c r="A174" s="5">
        <v>50</v>
      </c>
      <c r="B174" s="5">
        <v>0</v>
      </c>
      <c r="C174" s="5">
        <v>0</v>
      </c>
      <c r="D174" s="5">
        <v>1</v>
      </c>
      <c r="E174" s="5">
        <v>226</v>
      </c>
      <c r="F174" s="5">
        <f>ROUND(Source!AW168,O174)</f>
        <v>1331282.11</v>
      </c>
      <c r="G174" s="5" t="s">
        <v>135</v>
      </c>
      <c r="H174" s="5" t="s">
        <v>136</v>
      </c>
      <c r="I174" s="5"/>
      <c r="J174" s="5"/>
      <c r="K174" s="5">
        <v>226</v>
      </c>
      <c r="L174" s="5">
        <v>5</v>
      </c>
      <c r="M174" s="5">
        <v>3</v>
      </c>
      <c r="N174" s="5" t="s">
        <v>3</v>
      </c>
      <c r="O174" s="5">
        <v>2</v>
      </c>
      <c r="P174" s="5">
        <f>ROUND(Source!EO168,O174)</f>
        <v>1340937.04</v>
      </c>
      <c r="Q174" s="5"/>
      <c r="R174" s="5"/>
      <c r="S174" s="5"/>
      <c r="T174" s="5"/>
      <c r="U174" s="5"/>
      <c r="V174" s="5"/>
      <c r="W174" s="5">
        <v>1331282.11</v>
      </c>
      <c r="X174" s="5">
        <v>1</v>
      </c>
      <c r="Y174" s="5">
        <v>1331282.11</v>
      </c>
      <c r="Z174" s="5">
        <v>1340937.04</v>
      </c>
      <c r="AA174" s="5">
        <v>1</v>
      </c>
      <c r="AB174" s="5">
        <v>1340937.04</v>
      </c>
    </row>
    <row r="175" spans="1:28" ht="12.75">
      <c r="A175" s="5">
        <v>50</v>
      </c>
      <c r="B175" s="5">
        <v>0</v>
      </c>
      <c r="C175" s="5">
        <v>0</v>
      </c>
      <c r="D175" s="5">
        <v>1</v>
      </c>
      <c r="E175" s="5">
        <v>227</v>
      </c>
      <c r="F175" s="5">
        <f>ROUND(Source!AX168,O175)</f>
        <v>0</v>
      </c>
      <c r="G175" s="5" t="s">
        <v>137</v>
      </c>
      <c r="H175" s="5" t="s">
        <v>138</v>
      </c>
      <c r="I175" s="5"/>
      <c r="J175" s="5"/>
      <c r="K175" s="5">
        <v>227</v>
      </c>
      <c r="L175" s="5">
        <v>6</v>
      </c>
      <c r="M175" s="5">
        <v>3</v>
      </c>
      <c r="N175" s="5" t="s">
        <v>3</v>
      </c>
      <c r="O175" s="5">
        <v>2</v>
      </c>
      <c r="P175" s="5">
        <f>ROUND(Source!EP168,O175)</f>
        <v>0</v>
      </c>
      <c r="Q175" s="5"/>
      <c r="R175" s="5"/>
      <c r="S175" s="5"/>
      <c r="T175" s="5"/>
      <c r="U175" s="5"/>
      <c r="V175" s="5"/>
      <c r="W175" s="5">
        <v>0</v>
      </c>
      <c r="X175" s="5">
        <v>1</v>
      </c>
      <c r="Y175" s="5">
        <v>0</v>
      </c>
      <c r="Z175" s="5">
        <v>0</v>
      </c>
      <c r="AA175" s="5">
        <v>1</v>
      </c>
      <c r="AB175" s="5">
        <v>0</v>
      </c>
    </row>
    <row r="176" spans="1:28" ht="12.75">
      <c r="A176" s="5">
        <v>50</v>
      </c>
      <c r="B176" s="5">
        <v>1</v>
      </c>
      <c r="C176" s="5">
        <v>0</v>
      </c>
      <c r="D176" s="5">
        <v>1</v>
      </c>
      <c r="E176" s="5">
        <v>228</v>
      </c>
      <c r="F176" s="5">
        <f>ROUND(Source!AY168,O176)</f>
        <v>1331282.11</v>
      </c>
      <c r="G176" s="5" t="s">
        <v>139</v>
      </c>
      <c r="H176" s="5" t="s">
        <v>140</v>
      </c>
      <c r="I176" s="5"/>
      <c r="J176" s="5"/>
      <c r="K176" s="5">
        <v>228</v>
      </c>
      <c r="L176" s="5">
        <v>7</v>
      </c>
      <c r="M176" s="5">
        <v>0</v>
      </c>
      <c r="N176" s="5" t="s">
        <v>3</v>
      </c>
      <c r="O176" s="5">
        <v>2</v>
      </c>
      <c r="P176" s="5">
        <f>ROUND(Source!EQ168,O176)</f>
        <v>1340937.04</v>
      </c>
      <c r="Q176" s="5"/>
      <c r="R176" s="5"/>
      <c r="S176" s="5"/>
      <c r="T176" s="5"/>
      <c r="U176" s="5"/>
      <c r="V176" s="5"/>
      <c r="W176" s="5">
        <v>1331282.11</v>
      </c>
      <c r="X176" s="5">
        <v>1</v>
      </c>
      <c r="Y176" s="5">
        <v>1331282.11</v>
      </c>
      <c r="Z176" s="5">
        <v>1340937.04</v>
      </c>
      <c r="AA176" s="5">
        <v>1</v>
      </c>
      <c r="AB176" s="5">
        <v>1340937.04</v>
      </c>
    </row>
    <row r="177" spans="1:28" ht="12.75">
      <c r="A177" s="5">
        <v>50</v>
      </c>
      <c r="B177" s="5">
        <v>0</v>
      </c>
      <c r="C177" s="5">
        <v>0</v>
      </c>
      <c r="D177" s="5">
        <v>1</v>
      </c>
      <c r="E177" s="5">
        <v>216</v>
      </c>
      <c r="F177" s="5">
        <f>ROUND(Source!AP168,O177)</f>
        <v>0</v>
      </c>
      <c r="G177" s="5" t="s">
        <v>141</v>
      </c>
      <c r="H177" s="5" t="s">
        <v>142</v>
      </c>
      <c r="I177" s="5"/>
      <c r="J177" s="5"/>
      <c r="K177" s="5">
        <v>216</v>
      </c>
      <c r="L177" s="5">
        <v>8</v>
      </c>
      <c r="M177" s="5">
        <v>3</v>
      </c>
      <c r="N177" s="5" t="s">
        <v>3</v>
      </c>
      <c r="O177" s="5">
        <v>2</v>
      </c>
      <c r="P177" s="5">
        <f>ROUND(Source!EH168,O177)</f>
        <v>0</v>
      </c>
      <c r="Q177" s="5"/>
      <c r="R177" s="5"/>
      <c r="S177" s="5"/>
      <c r="T177" s="5"/>
      <c r="U177" s="5"/>
      <c r="V177" s="5"/>
      <c r="W177" s="5">
        <v>0</v>
      </c>
      <c r="X177" s="5">
        <v>1</v>
      </c>
      <c r="Y177" s="5">
        <v>0</v>
      </c>
      <c r="Z177" s="5">
        <v>0</v>
      </c>
      <c r="AA177" s="5">
        <v>1</v>
      </c>
      <c r="AB177" s="5">
        <v>0</v>
      </c>
    </row>
    <row r="178" spans="1:28" ht="12.75">
      <c r="A178" s="5">
        <v>50</v>
      </c>
      <c r="B178" s="5">
        <v>0</v>
      </c>
      <c r="C178" s="5">
        <v>0</v>
      </c>
      <c r="D178" s="5">
        <v>1</v>
      </c>
      <c r="E178" s="5">
        <v>223</v>
      </c>
      <c r="F178" s="5">
        <f>ROUND(Source!AQ168,O178)</f>
        <v>0</v>
      </c>
      <c r="G178" s="5" t="s">
        <v>143</v>
      </c>
      <c r="H178" s="5" t="s">
        <v>144</v>
      </c>
      <c r="I178" s="5"/>
      <c r="J178" s="5"/>
      <c r="K178" s="5">
        <v>223</v>
      </c>
      <c r="L178" s="5">
        <v>9</v>
      </c>
      <c r="M178" s="5">
        <v>3</v>
      </c>
      <c r="N178" s="5" t="s">
        <v>3</v>
      </c>
      <c r="O178" s="5">
        <v>2</v>
      </c>
      <c r="P178" s="5">
        <f>ROUND(Source!EI168,O178)</f>
        <v>0</v>
      </c>
      <c r="Q178" s="5"/>
      <c r="R178" s="5"/>
      <c r="S178" s="5"/>
      <c r="T178" s="5"/>
      <c r="U178" s="5"/>
      <c r="V178" s="5"/>
      <c r="W178" s="5">
        <v>0</v>
      </c>
      <c r="X178" s="5">
        <v>1</v>
      </c>
      <c r="Y178" s="5">
        <v>0</v>
      </c>
      <c r="Z178" s="5">
        <v>0</v>
      </c>
      <c r="AA178" s="5">
        <v>1</v>
      </c>
      <c r="AB178" s="5">
        <v>0</v>
      </c>
    </row>
    <row r="179" spans="1:28" ht="12.75">
      <c r="A179" s="5">
        <v>50</v>
      </c>
      <c r="B179" s="5">
        <v>0</v>
      </c>
      <c r="C179" s="5">
        <v>0</v>
      </c>
      <c r="D179" s="5">
        <v>1</v>
      </c>
      <c r="E179" s="5">
        <v>229</v>
      </c>
      <c r="F179" s="5">
        <f>ROUND(Source!AZ168,O179)</f>
        <v>0</v>
      </c>
      <c r="G179" s="5" t="s">
        <v>145</v>
      </c>
      <c r="H179" s="5" t="s">
        <v>146</v>
      </c>
      <c r="I179" s="5"/>
      <c r="J179" s="5"/>
      <c r="K179" s="5">
        <v>229</v>
      </c>
      <c r="L179" s="5">
        <v>10</v>
      </c>
      <c r="M179" s="5">
        <v>3</v>
      </c>
      <c r="N179" s="5" t="s">
        <v>3</v>
      </c>
      <c r="O179" s="5">
        <v>2</v>
      </c>
      <c r="P179" s="5">
        <f>ROUND(Source!ER168,O179)</f>
        <v>0</v>
      </c>
      <c r="Q179" s="5"/>
      <c r="R179" s="5"/>
      <c r="S179" s="5"/>
      <c r="T179" s="5"/>
      <c r="U179" s="5"/>
      <c r="V179" s="5"/>
      <c r="W179" s="5">
        <v>0</v>
      </c>
      <c r="X179" s="5">
        <v>1</v>
      </c>
      <c r="Y179" s="5">
        <v>0</v>
      </c>
      <c r="Z179" s="5">
        <v>0</v>
      </c>
      <c r="AA179" s="5">
        <v>1</v>
      </c>
      <c r="AB179" s="5">
        <v>0</v>
      </c>
    </row>
    <row r="180" spans="1:28" ht="12.75">
      <c r="A180" s="5">
        <v>50</v>
      </c>
      <c r="B180" s="5">
        <v>0</v>
      </c>
      <c r="C180" s="5">
        <v>0</v>
      </c>
      <c r="D180" s="5">
        <v>1</v>
      </c>
      <c r="E180" s="5">
        <v>203</v>
      </c>
      <c r="F180" s="5">
        <f>ROUND(Source!Q168,O180)</f>
        <v>477.62</v>
      </c>
      <c r="G180" s="5" t="s">
        <v>147</v>
      </c>
      <c r="H180" s="5" t="s">
        <v>148</v>
      </c>
      <c r="I180" s="5"/>
      <c r="J180" s="5"/>
      <c r="K180" s="5">
        <v>203</v>
      </c>
      <c r="L180" s="5">
        <v>11</v>
      </c>
      <c r="M180" s="5">
        <v>3</v>
      </c>
      <c r="N180" s="5" t="s">
        <v>3</v>
      </c>
      <c r="O180" s="5">
        <v>2</v>
      </c>
      <c r="P180" s="5">
        <f>ROUND(Source!DI168,O180)</f>
        <v>6323.68</v>
      </c>
      <c r="Q180" s="5"/>
      <c r="R180" s="5"/>
      <c r="S180" s="5"/>
      <c r="T180" s="5"/>
      <c r="U180" s="5"/>
      <c r="V180" s="5"/>
      <c r="W180" s="5">
        <v>477.61999999999995</v>
      </c>
      <c r="X180" s="5">
        <v>1</v>
      </c>
      <c r="Y180" s="5">
        <v>477.61999999999995</v>
      </c>
      <c r="Z180" s="5">
        <v>6323.679999999999</v>
      </c>
      <c r="AA180" s="5">
        <v>1</v>
      </c>
      <c r="AB180" s="5">
        <v>6323.679999999999</v>
      </c>
    </row>
    <row r="181" spans="1:28" ht="12.75">
      <c r="A181" s="5">
        <v>50</v>
      </c>
      <c r="B181" s="5">
        <v>0</v>
      </c>
      <c r="C181" s="5">
        <v>0</v>
      </c>
      <c r="D181" s="5">
        <v>1</v>
      </c>
      <c r="E181" s="5">
        <v>231</v>
      </c>
      <c r="F181" s="5">
        <f>ROUND(Source!BB168,O181)</f>
        <v>0</v>
      </c>
      <c r="G181" s="5" t="s">
        <v>149</v>
      </c>
      <c r="H181" s="5" t="s">
        <v>150</v>
      </c>
      <c r="I181" s="5"/>
      <c r="J181" s="5"/>
      <c r="K181" s="5">
        <v>231</v>
      </c>
      <c r="L181" s="5">
        <v>12</v>
      </c>
      <c r="M181" s="5">
        <v>3</v>
      </c>
      <c r="N181" s="5" t="s">
        <v>3</v>
      </c>
      <c r="O181" s="5">
        <v>2</v>
      </c>
      <c r="P181" s="5">
        <f>ROUND(Source!ET168,O181)</f>
        <v>0</v>
      </c>
      <c r="Q181" s="5"/>
      <c r="R181" s="5"/>
      <c r="S181" s="5"/>
      <c r="T181" s="5"/>
      <c r="U181" s="5"/>
      <c r="V181" s="5"/>
      <c r="W181" s="5">
        <v>0</v>
      </c>
      <c r="X181" s="5">
        <v>1</v>
      </c>
      <c r="Y181" s="5">
        <v>0</v>
      </c>
      <c r="Z181" s="5">
        <v>0</v>
      </c>
      <c r="AA181" s="5">
        <v>1</v>
      </c>
      <c r="AB181" s="5">
        <v>0</v>
      </c>
    </row>
    <row r="182" spans="1:28" ht="12.75">
      <c r="A182" s="5">
        <v>50</v>
      </c>
      <c r="B182" s="5">
        <v>0</v>
      </c>
      <c r="C182" s="5">
        <v>0</v>
      </c>
      <c r="D182" s="5">
        <v>1</v>
      </c>
      <c r="E182" s="5">
        <v>204</v>
      </c>
      <c r="F182" s="5">
        <f>ROUND(Source!R168,O182)</f>
        <v>62.76</v>
      </c>
      <c r="G182" s="5" t="s">
        <v>151</v>
      </c>
      <c r="H182" s="5" t="s">
        <v>152</v>
      </c>
      <c r="I182" s="5"/>
      <c r="J182" s="5"/>
      <c r="K182" s="5">
        <v>204</v>
      </c>
      <c r="L182" s="5">
        <v>13</v>
      </c>
      <c r="M182" s="5">
        <v>3</v>
      </c>
      <c r="N182" s="5" t="s">
        <v>3</v>
      </c>
      <c r="O182" s="5">
        <v>2</v>
      </c>
      <c r="P182" s="5">
        <f>ROUND(Source!DJ168,O182)</f>
        <v>2343.26</v>
      </c>
      <c r="Q182" s="5"/>
      <c r="R182" s="5"/>
      <c r="S182" s="5"/>
      <c r="T182" s="5"/>
      <c r="U182" s="5"/>
      <c r="V182" s="5"/>
      <c r="W182" s="5">
        <v>62.760000000000005</v>
      </c>
      <c r="X182" s="5">
        <v>1</v>
      </c>
      <c r="Y182" s="5">
        <v>62.760000000000005</v>
      </c>
      <c r="Z182" s="5">
        <v>2343.2599999999998</v>
      </c>
      <c r="AA182" s="5">
        <v>1</v>
      </c>
      <c r="AB182" s="5">
        <v>2343.2599999999998</v>
      </c>
    </row>
    <row r="183" spans="1:28" ht="12.75">
      <c r="A183" s="5">
        <v>50</v>
      </c>
      <c r="B183" s="5">
        <v>0</v>
      </c>
      <c r="C183" s="5">
        <v>0</v>
      </c>
      <c r="D183" s="5">
        <v>1</v>
      </c>
      <c r="E183" s="5">
        <v>205</v>
      </c>
      <c r="F183" s="5">
        <f>ROUND(Source!S168,O183)</f>
        <v>1938.13</v>
      </c>
      <c r="G183" s="5" t="s">
        <v>153</v>
      </c>
      <c r="H183" s="5" t="s">
        <v>154</v>
      </c>
      <c r="I183" s="5"/>
      <c r="J183" s="5"/>
      <c r="K183" s="5">
        <v>205</v>
      </c>
      <c r="L183" s="5">
        <v>14</v>
      </c>
      <c r="M183" s="5">
        <v>3</v>
      </c>
      <c r="N183" s="5" t="s">
        <v>3</v>
      </c>
      <c r="O183" s="5">
        <v>2</v>
      </c>
      <c r="P183" s="5">
        <f>ROUND(Source!DK168,O183)</f>
        <v>72369.67</v>
      </c>
      <c r="Q183" s="5"/>
      <c r="R183" s="5"/>
      <c r="S183" s="5"/>
      <c r="T183" s="5"/>
      <c r="U183" s="5"/>
      <c r="V183" s="5"/>
      <c r="W183" s="5">
        <v>1938.1299999999999</v>
      </c>
      <c r="X183" s="5">
        <v>1</v>
      </c>
      <c r="Y183" s="5">
        <v>1938.1299999999999</v>
      </c>
      <c r="Z183" s="5">
        <v>72369.67</v>
      </c>
      <c r="AA183" s="5">
        <v>1</v>
      </c>
      <c r="AB183" s="5">
        <v>72369.67</v>
      </c>
    </row>
    <row r="184" spans="1:28" ht="12.75">
      <c r="A184" s="5">
        <v>50</v>
      </c>
      <c r="B184" s="5">
        <v>0</v>
      </c>
      <c r="C184" s="5">
        <v>0</v>
      </c>
      <c r="D184" s="5">
        <v>1</v>
      </c>
      <c r="E184" s="5">
        <v>232</v>
      </c>
      <c r="F184" s="5">
        <f>ROUND(Source!BC168,O184)</f>
        <v>0</v>
      </c>
      <c r="G184" s="5" t="s">
        <v>155</v>
      </c>
      <c r="H184" s="5" t="s">
        <v>156</v>
      </c>
      <c r="I184" s="5"/>
      <c r="J184" s="5"/>
      <c r="K184" s="5">
        <v>232</v>
      </c>
      <c r="L184" s="5">
        <v>15</v>
      </c>
      <c r="M184" s="5">
        <v>3</v>
      </c>
      <c r="N184" s="5" t="s">
        <v>3</v>
      </c>
      <c r="O184" s="5">
        <v>2</v>
      </c>
      <c r="P184" s="5">
        <f>ROUND(Source!EU168,O184)</f>
        <v>0</v>
      </c>
      <c r="Q184" s="5"/>
      <c r="R184" s="5"/>
      <c r="S184" s="5"/>
      <c r="T184" s="5"/>
      <c r="U184" s="5"/>
      <c r="V184" s="5"/>
      <c r="W184" s="5">
        <v>0</v>
      </c>
      <c r="X184" s="5">
        <v>1</v>
      </c>
      <c r="Y184" s="5">
        <v>0</v>
      </c>
      <c r="Z184" s="5">
        <v>0</v>
      </c>
      <c r="AA184" s="5">
        <v>1</v>
      </c>
      <c r="AB184" s="5">
        <v>0</v>
      </c>
    </row>
    <row r="185" spans="1:28" ht="12.75">
      <c r="A185" s="5">
        <v>50</v>
      </c>
      <c r="B185" s="5">
        <v>0</v>
      </c>
      <c r="C185" s="5">
        <v>0</v>
      </c>
      <c r="D185" s="5">
        <v>1</v>
      </c>
      <c r="E185" s="5">
        <v>214</v>
      </c>
      <c r="F185" s="5">
        <f>ROUND(Source!AS168,O185)</f>
        <v>1079864.56</v>
      </c>
      <c r="G185" s="5" t="s">
        <v>157</v>
      </c>
      <c r="H185" s="5" t="s">
        <v>158</v>
      </c>
      <c r="I185" s="5"/>
      <c r="J185" s="5"/>
      <c r="K185" s="5">
        <v>214</v>
      </c>
      <c r="L185" s="5">
        <v>16</v>
      </c>
      <c r="M185" s="5">
        <v>3</v>
      </c>
      <c r="N185" s="5" t="s">
        <v>3</v>
      </c>
      <c r="O185" s="5">
        <v>2</v>
      </c>
      <c r="P185" s="5">
        <f>ROUND(Source!EK168,O185)</f>
        <v>1276368.94</v>
      </c>
      <c r="Q185" s="5"/>
      <c r="R185" s="5"/>
      <c r="S185" s="5"/>
      <c r="T185" s="5"/>
      <c r="U185" s="5"/>
      <c r="V185" s="5"/>
      <c r="W185" s="5">
        <v>1079864.56</v>
      </c>
      <c r="X185" s="5">
        <v>1</v>
      </c>
      <c r="Y185" s="5">
        <v>1079864.56</v>
      </c>
      <c r="Z185" s="5">
        <v>1276368.94</v>
      </c>
      <c r="AA185" s="5">
        <v>1</v>
      </c>
      <c r="AB185" s="5">
        <v>1276368.94</v>
      </c>
    </row>
    <row r="186" spans="1:28" ht="12.75">
      <c r="A186" s="5">
        <v>50</v>
      </c>
      <c r="B186" s="5">
        <v>0</v>
      </c>
      <c r="C186" s="5">
        <v>0</v>
      </c>
      <c r="D186" s="5">
        <v>1</v>
      </c>
      <c r="E186" s="5">
        <v>215</v>
      </c>
      <c r="F186" s="5">
        <f>ROUND(Source!AT168,O186)</f>
        <v>256960</v>
      </c>
      <c r="G186" s="5" t="s">
        <v>159</v>
      </c>
      <c r="H186" s="5" t="s">
        <v>160</v>
      </c>
      <c r="I186" s="5"/>
      <c r="J186" s="5"/>
      <c r="K186" s="5">
        <v>215</v>
      </c>
      <c r="L186" s="5">
        <v>17</v>
      </c>
      <c r="M186" s="5">
        <v>3</v>
      </c>
      <c r="N186" s="5" t="s">
        <v>3</v>
      </c>
      <c r="O186" s="5">
        <v>2</v>
      </c>
      <c r="P186" s="5">
        <f>ROUND(Source!EL168,O186)</f>
        <v>256960</v>
      </c>
      <c r="Q186" s="5"/>
      <c r="R186" s="5"/>
      <c r="S186" s="5"/>
      <c r="T186" s="5"/>
      <c r="U186" s="5"/>
      <c r="V186" s="5"/>
      <c r="W186" s="5">
        <v>256960</v>
      </c>
      <c r="X186" s="5">
        <v>1</v>
      </c>
      <c r="Y186" s="5">
        <v>256960</v>
      </c>
      <c r="Z186" s="5">
        <v>256960</v>
      </c>
      <c r="AA186" s="5">
        <v>1</v>
      </c>
      <c r="AB186" s="5">
        <v>256960</v>
      </c>
    </row>
    <row r="187" spans="1:28" ht="12.75">
      <c r="A187" s="5">
        <v>50</v>
      </c>
      <c r="B187" s="5">
        <v>0</v>
      </c>
      <c r="C187" s="5">
        <v>0</v>
      </c>
      <c r="D187" s="5">
        <v>1</v>
      </c>
      <c r="E187" s="5">
        <v>217</v>
      </c>
      <c r="F187" s="5">
        <f>ROUND(Source!AU168,O187)</f>
        <v>0</v>
      </c>
      <c r="G187" s="5" t="s">
        <v>161</v>
      </c>
      <c r="H187" s="5" t="s">
        <v>162</v>
      </c>
      <c r="I187" s="5"/>
      <c r="J187" s="5"/>
      <c r="K187" s="5">
        <v>217</v>
      </c>
      <c r="L187" s="5">
        <v>18</v>
      </c>
      <c r="M187" s="5">
        <v>3</v>
      </c>
      <c r="N187" s="5" t="s">
        <v>3</v>
      </c>
      <c r="O187" s="5">
        <v>2</v>
      </c>
      <c r="P187" s="5">
        <f>ROUND(Source!EM168,O187)</f>
        <v>0</v>
      </c>
      <c r="Q187" s="5"/>
      <c r="R187" s="5"/>
      <c r="S187" s="5"/>
      <c r="T187" s="5"/>
      <c r="U187" s="5"/>
      <c r="V187" s="5"/>
      <c r="W187" s="5">
        <v>0</v>
      </c>
      <c r="X187" s="5">
        <v>1</v>
      </c>
      <c r="Y187" s="5">
        <v>0</v>
      </c>
      <c r="Z187" s="5">
        <v>0</v>
      </c>
      <c r="AA187" s="5">
        <v>1</v>
      </c>
      <c r="AB187" s="5">
        <v>0</v>
      </c>
    </row>
    <row r="188" spans="1:28" ht="12.75">
      <c r="A188" s="5">
        <v>50</v>
      </c>
      <c r="B188" s="5">
        <v>0</v>
      </c>
      <c r="C188" s="5">
        <v>0</v>
      </c>
      <c r="D188" s="5">
        <v>1</v>
      </c>
      <c r="E188" s="5">
        <v>230</v>
      </c>
      <c r="F188" s="5">
        <f>ROUND(Source!BA168,O188)</f>
        <v>0</v>
      </c>
      <c r="G188" s="5" t="s">
        <v>163</v>
      </c>
      <c r="H188" s="5" t="s">
        <v>164</v>
      </c>
      <c r="I188" s="5"/>
      <c r="J188" s="5"/>
      <c r="K188" s="5">
        <v>230</v>
      </c>
      <c r="L188" s="5">
        <v>19</v>
      </c>
      <c r="M188" s="5">
        <v>3</v>
      </c>
      <c r="N188" s="5" t="s">
        <v>3</v>
      </c>
      <c r="O188" s="5">
        <v>2</v>
      </c>
      <c r="P188" s="5">
        <f>ROUND(Source!ES168,O188)</f>
        <v>0</v>
      </c>
      <c r="Q188" s="5"/>
      <c r="R188" s="5"/>
      <c r="S188" s="5"/>
      <c r="T188" s="5"/>
      <c r="U188" s="5"/>
      <c r="V188" s="5"/>
      <c r="W188" s="5">
        <v>0</v>
      </c>
      <c r="X188" s="5">
        <v>1</v>
      </c>
      <c r="Y188" s="5">
        <v>0</v>
      </c>
      <c r="Z188" s="5">
        <v>0</v>
      </c>
      <c r="AA188" s="5">
        <v>1</v>
      </c>
      <c r="AB188" s="5">
        <v>0</v>
      </c>
    </row>
    <row r="189" spans="1:28" ht="12.75">
      <c r="A189" s="5">
        <v>50</v>
      </c>
      <c r="B189" s="5">
        <v>0</v>
      </c>
      <c r="C189" s="5">
        <v>0</v>
      </c>
      <c r="D189" s="5">
        <v>1</v>
      </c>
      <c r="E189" s="5">
        <v>206</v>
      </c>
      <c r="F189" s="5">
        <f>ROUND(Source!T168,O189)</f>
        <v>0</v>
      </c>
      <c r="G189" s="5" t="s">
        <v>165</v>
      </c>
      <c r="H189" s="5" t="s">
        <v>166</v>
      </c>
      <c r="I189" s="5"/>
      <c r="J189" s="5"/>
      <c r="K189" s="5">
        <v>206</v>
      </c>
      <c r="L189" s="5">
        <v>20</v>
      </c>
      <c r="M189" s="5">
        <v>3</v>
      </c>
      <c r="N189" s="5" t="s">
        <v>3</v>
      </c>
      <c r="O189" s="5">
        <v>2</v>
      </c>
      <c r="P189" s="5">
        <f>ROUND(Source!DL168,O189)</f>
        <v>0</v>
      </c>
      <c r="Q189" s="5"/>
      <c r="R189" s="5"/>
      <c r="S189" s="5"/>
      <c r="T189" s="5"/>
      <c r="U189" s="5"/>
      <c r="V189" s="5"/>
      <c r="W189" s="5">
        <v>0</v>
      </c>
      <c r="X189" s="5">
        <v>1</v>
      </c>
      <c r="Y189" s="5">
        <v>0</v>
      </c>
      <c r="Z189" s="5">
        <v>0</v>
      </c>
      <c r="AA189" s="5">
        <v>1</v>
      </c>
      <c r="AB189" s="5">
        <v>0</v>
      </c>
    </row>
    <row r="190" spans="1:28" ht="12.75">
      <c r="A190" s="5">
        <v>50</v>
      </c>
      <c r="B190" s="5">
        <v>0</v>
      </c>
      <c r="C190" s="5">
        <v>0</v>
      </c>
      <c r="D190" s="5">
        <v>1</v>
      </c>
      <c r="E190" s="5">
        <v>207</v>
      </c>
      <c r="F190" s="5">
        <f>Source!U168</f>
        <v>196.45770199999998</v>
      </c>
      <c r="G190" s="5" t="s">
        <v>167</v>
      </c>
      <c r="H190" s="5" t="s">
        <v>168</v>
      </c>
      <c r="I190" s="5"/>
      <c r="J190" s="5"/>
      <c r="K190" s="5">
        <v>207</v>
      </c>
      <c r="L190" s="5">
        <v>21</v>
      </c>
      <c r="M190" s="5">
        <v>3</v>
      </c>
      <c r="N190" s="5" t="s">
        <v>3</v>
      </c>
      <c r="O190" s="5">
        <v>-1</v>
      </c>
      <c r="P190" s="5">
        <f>Source!DM168</f>
        <v>196.45770199999998</v>
      </c>
      <c r="Q190" s="5"/>
      <c r="R190" s="5"/>
      <c r="S190" s="5"/>
      <c r="T190" s="5"/>
      <c r="U190" s="5"/>
      <c r="V190" s="5"/>
      <c r="W190" s="5">
        <v>196.457702</v>
      </c>
      <c r="X190" s="5">
        <v>1</v>
      </c>
      <c r="Y190" s="5">
        <v>196.457702</v>
      </c>
      <c r="Z190" s="5">
        <v>196.457702</v>
      </c>
      <c r="AA190" s="5">
        <v>1</v>
      </c>
      <c r="AB190" s="5">
        <v>196.457702</v>
      </c>
    </row>
    <row r="191" spans="1:28" ht="12.75">
      <c r="A191" s="5">
        <v>50</v>
      </c>
      <c r="B191" s="5">
        <v>0</v>
      </c>
      <c r="C191" s="5">
        <v>0</v>
      </c>
      <c r="D191" s="5">
        <v>1</v>
      </c>
      <c r="E191" s="5">
        <v>208</v>
      </c>
      <c r="F191" s="5">
        <f>Source!V168</f>
        <v>5.1020650000000005</v>
      </c>
      <c r="G191" s="5" t="s">
        <v>169</v>
      </c>
      <c r="H191" s="5" t="s">
        <v>170</v>
      </c>
      <c r="I191" s="5"/>
      <c r="J191" s="5"/>
      <c r="K191" s="5">
        <v>208</v>
      </c>
      <c r="L191" s="5">
        <v>22</v>
      </c>
      <c r="M191" s="5">
        <v>3</v>
      </c>
      <c r="N191" s="5" t="s">
        <v>3</v>
      </c>
      <c r="O191" s="5">
        <v>-1</v>
      </c>
      <c r="P191" s="5">
        <f>Source!DN168</f>
        <v>5.1020650000000005</v>
      </c>
      <c r="Q191" s="5"/>
      <c r="R191" s="5"/>
      <c r="S191" s="5"/>
      <c r="T191" s="5"/>
      <c r="U191" s="5"/>
      <c r="V191" s="5"/>
      <c r="W191" s="5">
        <v>5.102065</v>
      </c>
      <c r="X191" s="5">
        <v>1</v>
      </c>
      <c r="Y191" s="5">
        <v>5.102065</v>
      </c>
      <c r="Z191" s="5">
        <v>5.102065</v>
      </c>
      <c r="AA191" s="5">
        <v>1</v>
      </c>
      <c r="AB191" s="5">
        <v>5.102065</v>
      </c>
    </row>
    <row r="192" spans="1:28" ht="12.75">
      <c r="A192" s="5">
        <v>50</v>
      </c>
      <c r="B192" s="5">
        <v>0</v>
      </c>
      <c r="C192" s="5">
        <v>0</v>
      </c>
      <c r="D192" s="5">
        <v>1</v>
      </c>
      <c r="E192" s="5">
        <v>209</v>
      </c>
      <c r="F192" s="5">
        <f>ROUND(Source!W168,O192)</f>
        <v>0</v>
      </c>
      <c r="G192" s="5" t="s">
        <v>171</v>
      </c>
      <c r="H192" s="5" t="s">
        <v>172</v>
      </c>
      <c r="I192" s="5"/>
      <c r="J192" s="5"/>
      <c r="K192" s="5">
        <v>209</v>
      </c>
      <c r="L192" s="5">
        <v>23</v>
      </c>
      <c r="M192" s="5">
        <v>3</v>
      </c>
      <c r="N192" s="5" t="s">
        <v>3</v>
      </c>
      <c r="O192" s="5">
        <v>2</v>
      </c>
      <c r="P192" s="5">
        <f>ROUND(Source!DO168,O192)</f>
        <v>0</v>
      </c>
      <c r="Q192" s="5"/>
      <c r="R192" s="5"/>
      <c r="S192" s="5"/>
      <c r="T192" s="5"/>
      <c r="U192" s="5"/>
      <c r="V192" s="5"/>
      <c r="W192" s="5">
        <v>0</v>
      </c>
      <c r="X192" s="5">
        <v>1</v>
      </c>
      <c r="Y192" s="5">
        <v>0</v>
      </c>
      <c r="Z192" s="5">
        <v>0</v>
      </c>
      <c r="AA192" s="5">
        <v>1</v>
      </c>
      <c r="AB192" s="5">
        <v>0</v>
      </c>
    </row>
    <row r="193" spans="1:28" ht="12.75">
      <c r="A193" s="5">
        <v>50</v>
      </c>
      <c r="B193" s="5">
        <v>0</v>
      </c>
      <c r="C193" s="5">
        <v>0</v>
      </c>
      <c r="D193" s="5">
        <v>1</v>
      </c>
      <c r="E193" s="5">
        <v>233</v>
      </c>
      <c r="F193" s="5">
        <f>ROUND(Source!BD168,O193)</f>
        <v>126.63</v>
      </c>
      <c r="G193" s="5" t="s">
        <v>173</v>
      </c>
      <c r="H193" s="5" t="s">
        <v>174</v>
      </c>
      <c r="I193" s="5"/>
      <c r="J193" s="5"/>
      <c r="K193" s="5">
        <v>233</v>
      </c>
      <c r="L193" s="5">
        <v>24</v>
      </c>
      <c r="M193" s="5">
        <v>3</v>
      </c>
      <c r="N193" s="5" t="s">
        <v>3</v>
      </c>
      <c r="O193" s="5">
        <v>2</v>
      </c>
      <c r="P193" s="5">
        <f>ROUND(Source!EV168,O193)</f>
        <v>1676.64</v>
      </c>
      <c r="Q193" s="5"/>
      <c r="R193" s="5"/>
      <c r="S193" s="5"/>
      <c r="T193" s="5"/>
      <c r="U193" s="5"/>
      <c r="V193" s="5"/>
      <c r="W193" s="5">
        <v>126.63</v>
      </c>
      <c r="X193" s="5">
        <v>1</v>
      </c>
      <c r="Y193" s="5">
        <v>126.63</v>
      </c>
      <c r="Z193" s="5">
        <v>1676.64</v>
      </c>
      <c r="AA193" s="5">
        <v>1</v>
      </c>
      <c r="AB193" s="5">
        <v>1676.64</v>
      </c>
    </row>
    <row r="194" spans="1:28" ht="12.75">
      <c r="A194" s="5">
        <v>50</v>
      </c>
      <c r="B194" s="5">
        <v>0</v>
      </c>
      <c r="C194" s="5">
        <v>0</v>
      </c>
      <c r="D194" s="5">
        <v>1</v>
      </c>
      <c r="E194" s="5">
        <v>210</v>
      </c>
      <c r="F194" s="5">
        <f>ROUND(Source!X168,O194)</f>
        <v>1882.86</v>
      </c>
      <c r="G194" s="5" t="s">
        <v>175</v>
      </c>
      <c r="H194" s="5" t="s">
        <v>176</v>
      </c>
      <c r="I194" s="5"/>
      <c r="J194" s="5"/>
      <c r="K194" s="5">
        <v>210</v>
      </c>
      <c r="L194" s="5">
        <v>25</v>
      </c>
      <c r="M194" s="5">
        <v>3</v>
      </c>
      <c r="N194" s="5" t="s">
        <v>3</v>
      </c>
      <c r="O194" s="5">
        <v>2</v>
      </c>
      <c r="P194" s="5">
        <f>ROUND(Source!DP168,O194)</f>
        <v>70305.36</v>
      </c>
      <c r="Q194" s="5"/>
      <c r="R194" s="5"/>
      <c r="S194" s="5"/>
      <c r="T194" s="5"/>
      <c r="U194" s="5"/>
      <c r="V194" s="5"/>
      <c r="W194" s="5">
        <v>1882.86</v>
      </c>
      <c r="X194" s="5">
        <v>1</v>
      </c>
      <c r="Y194" s="5">
        <v>1882.86</v>
      </c>
      <c r="Z194" s="5">
        <v>70305.36</v>
      </c>
      <c r="AA194" s="5">
        <v>1</v>
      </c>
      <c r="AB194" s="5">
        <v>70305.36</v>
      </c>
    </row>
    <row r="195" spans="1:28" ht="12.75">
      <c r="A195" s="5">
        <v>50</v>
      </c>
      <c r="B195" s="5">
        <v>0</v>
      </c>
      <c r="C195" s="5">
        <v>0</v>
      </c>
      <c r="D195" s="5">
        <v>1</v>
      </c>
      <c r="E195" s="5">
        <v>211</v>
      </c>
      <c r="F195" s="5">
        <f>ROUND(Source!Y168,O195)</f>
        <v>1117.21</v>
      </c>
      <c r="G195" s="5" t="s">
        <v>177</v>
      </c>
      <c r="H195" s="5" t="s">
        <v>178</v>
      </c>
      <c r="I195" s="5"/>
      <c r="J195" s="5"/>
      <c r="K195" s="5">
        <v>211</v>
      </c>
      <c r="L195" s="5">
        <v>26</v>
      </c>
      <c r="M195" s="5">
        <v>3</v>
      </c>
      <c r="N195" s="5" t="s">
        <v>3</v>
      </c>
      <c r="O195" s="5">
        <v>2</v>
      </c>
      <c r="P195" s="5">
        <f>ROUND(Source!DQ168,O195)</f>
        <v>41716.55</v>
      </c>
      <c r="Q195" s="5"/>
      <c r="R195" s="5"/>
      <c r="S195" s="5"/>
      <c r="T195" s="5"/>
      <c r="U195" s="5"/>
      <c r="V195" s="5"/>
      <c r="W195" s="5">
        <v>1117.21</v>
      </c>
      <c r="X195" s="5">
        <v>1</v>
      </c>
      <c r="Y195" s="5">
        <v>1117.21</v>
      </c>
      <c r="Z195" s="5">
        <v>41716.55</v>
      </c>
      <c r="AA195" s="5">
        <v>1</v>
      </c>
      <c r="AB195" s="5">
        <v>41716.55</v>
      </c>
    </row>
    <row r="196" spans="1:28" ht="12.75">
      <c r="A196" s="5">
        <v>50</v>
      </c>
      <c r="B196" s="5">
        <v>0</v>
      </c>
      <c r="C196" s="5">
        <v>0</v>
      </c>
      <c r="D196" s="5">
        <v>1</v>
      </c>
      <c r="E196" s="5">
        <v>0</v>
      </c>
      <c r="F196" s="5">
        <f>ROUND(Source!AR168,O196)</f>
        <v>1336824.56</v>
      </c>
      <c r="G196" s="5" t="s">
        <v>179</v>
      </c>
      <c r="H196" s="5" t="s">
        <v>180</v>
      </c>
      <c r="I196" s="5"/>
      <c r="J196" s="5"/>
      <c r="K196" s="5">
        <v>224</v>
      </c>
      <c r="L196" s="5">
        <v>27</v>
      </c>
      <c r="M196" s="5">
        <v>3</v>
      </c>
      <c r="N196" s="5" t="s">
        <v>3</v>
      </c>
      <c r="O196" s="5">
        <v>2</v>
      </c>
      <c r="P196" s="5">
        <f>ROUND(Source!EJ168,O196)</f>
        <v>1533328.94</v>
      </c>
      <c r="Q196" s="5"/>
      <c r="R196" s="5"/>
      <c r="S196" s="5"/>
      <c r="T196" s="5"/>
      <c r="U196" s="5"/>
      <c r="V196" s="5"/>
      <c r="W196" s="5">
        <v>1336824.56</v>
      </c>
      <c r="X196" s="5">
        <v>1</v>
      </c>
      <c r="Y196" s="5">
        <v>1336824.56</v>
      </c>
      <c r="Z196" s="5">
        <v>1533328.9400000002</v>
      </c>
      <c r="AA196" s="5">
        <v>1</v>
      </c>
      <c r="AB196" s="5">
        <v>1533328.9400000002</v>
      </c>
    </row>
    <row r="197" spans="1:28" ht="12.75">
      <c r="A197" s="5">
        <v>50</v>
      </c>
      <c r="B197" s="5">
        <v>0</v>
      </c>
      <c r="C197" s="5">
        <v>0</v>
      </c>
      <c r="D197" s="5">
        <v>2</v>
      </c>
      <c r="E197" s="5">
        <v>0</v>
      </c>
      <c r="F197" s="5">
        <f>ROUND(F174,O197)</f>
        <v>1331282.11</v>
      </c>
      <c r="G197" s="5" t="s">
        <v>198</v>
      </c>
      <c r="H197" s="5" t="s">
        <v>198</v>
      </c>
      <c r="I197" s="5"/>
      <c r="J197" s="5"/>
      <c r="K197" s="5">
        <v>212</v>
      </c>
      <c r="L197" s="5">
        <v>28</v>
      </c>
      <c r="M197" s="5">
        <v>3</v>
      </c>
      <c r="N197" s="5" t="s">
        <v>3</v>
      </c>
      <c r="O197" s="5">
        <v>2</v>
      </c>
      <c r="P197" s="5">
        <f>ROUND(P174,O197)</f>
        <v>1340937.04</v>
      </c>
      <c r="Q197" s="5"/>
      <c r="R197" s="5"/>
      <c r="S197" s="5"/>
      <c r="T197" s="5"/>
      <c r="U197" s="5"/>
      <c r="V197" s="5"/>
      <c r="W197" s="5">
        <v>1331282.11</v>
      </c>
      <c r="X197" s="5">
        <v>1</v>
      </c>
      <c r="Y197" s="5">
        <v>1331282.11</v>
      </c>
      <c r="Z197" s="5">
        <v>1340937.04</v>
      </c>
      <c r="AA197" s="5">
        <v>1</v>
      </c>
      <c r="AB197" s="5">
        <v>1340937.04</v>
      </c>
    </row>
    <row r="198" spans="1:28" ht="12.75">
      <c r="A198" s="5">
        <v>50</v>
      </c>
      <c r="B198" s="5">
        <v>0</v>
      </c>
      <c r="C198" s="5">
        <v>0</v>
      </c>
      <c r="D198" s="5">
        <v>2</v>
      </c>
      <c r="E198" s="5">
        <v>0</v>
      </c>
      <c r="F198" s="5">
        <f>ROUND(F196,O198)</f>
        <v>1336824.56</v>
      </c>
      <c r="G198" s="5" t="s">
        <v>199</v>
      </c>
      <c r="H198" s="5" t="s">
        <v>179</v>
      </c>
      <c r="I198" s="5"/>
      <c r="J198" s="5"/>
      <c r="K198" s="5">
        <v>212</v>
      </c>
      <c r="L198" s="5">
        <v>29</v>
      </c>
      <c r="M198" s="5">
        <v>3</v>
      </c>
      <c r="N198" s="5" t="s">
        <v>3</v>
      </c>
      <c r="O198" s="5">
        <v>2</v>
      </c>
      <c r="P198" s="5">
        <f>ROUND(P196,O198)</f>
        <v>1533328.94</v>
      </c>
      <c r="Q198" s="5"/>
      <c r="R198" s="5"/>
      <c r="S198" s="5"/>
      <c r="T198" s="5"/>
      <c r="U198" s="5"/>
      <c r="V198" s="5"/>
      <c r="W198" s="5">
        <v>1336824.56</v>
      </c>
      <c r="X198" s="5">
        <v>1</v>
      </c>
      <c r="Y198" s="5">
        <v>1336824.56</v>
      </c>
      <c r="Z198" s="5">
        <v>1533328.94</v>
      </c>
      <c r="AA198" s="5">
        <v>1</v>
      </c>
      <c r="AB198" s="5">
        <v>1533328.94</v>
      </c>
    </row>
    <row r="199" spans="1:28" ht="12.75">
      <c r="A199" s="5">
        <v>50</v>
      </c>
      <c r="B199" s="5">
        <v>0</v>
      </c>
      <c r="C199" s="5">
        <v>0</v>
      </c>
      <c r="D199" s="5">
        <v>2</v>
      </c>
      <c r="E199" s="5">
        <v>0</v>
      </c>
      <c r="F199" s="5">
        <f>ROUND(F198*0.2,O199)</f>
        <v>267364.91</v>
      </c>
      <c r="G199" s="5" t="s">
        <v>204</v>
      </c>
      <c r="H199" s="5" t="s">
        <v>201</v>
      </c>
      <c r="I199" s="5"/>
      <c r="J199" s="5"/>
      <c r="K199" s="5">
        <v>212</v>
      </c>
      <c r="L199" s="5">
        <v>32</v>
      </c>
      <c r="M199" s="5">
        <v>3</v>
      </c>
      <c r="N199" s="5" t="s">
        <v>3</v>
      </c>
      <c r="O199" s="5">
        <v>2</v>
      </c>
      <c r="P199" s="5">
        <f>ROUND(P198*0.2,O199)</f>
        <v>306665.79</v>
      </c>
      <c r="Q199" s="5"/>
      <c r="R199" s="5"/>
      <c r="S199" s="5"/>
      <c r="T199" s="5"/>
      <c r="U199" s="5"/>
      <c r="V199" s="5"/>
      <c r="W199" s="5">
        <v>267364.91</v>
      </c>
      <c r="X199" s="5">
        <v>1</v>
      </c>
      <c r="Y199" s="5">
        <v>267364.91</v>
      </c>
      <c r="Z199" s="5">
        <v>306665.79</v>
      </c>
      <c r="AA199" s="5">
        <v>1</v>
      </c>
      <c r="AB199" s="5">
        <v>306665.79</v>
      </c>
    </row>
    <row r="200" spans="1:28" ht="12.75">
      <c r="A200" s="5">
        <v>50</v>
      </c>
      <c r="B200" s="5">
        <v>0</v>
      </c>
      <c r="C200" s="5">
        <v>0</v>
      </c>
      <c r="D200" s="5">
        <v>2</v>
      </c>
      <c r="E200" s="5">
        <v>224</v>
      </c>
      <c r="F200" s="5">
        <f>ROUND(F198+F199,O200)</f>
        <v>1604189.47</v>
      </c>
      <c r="G200" s="5" t="s">
        <v>205</v>
      </c>
      <c r="H200" s="5" t="s">
        <v>202</v>
      </c>
      <c r="I200" s="5"/>
      <c r="J200" s="5"/>
      <c r="K200" s="5">
        <v>212</v>
      </c>
      <c r="L200" s="5">
        <v>33</v>
      </c>
      <c r="M200" s="5">
        <v>3</v>
      </c>
      <c r="N200" s="5" t="s">
        <v>3</v>
      </c>
      <c r="O200" s="5">
        <v>2</v>
      </c>
      <c r="P200" s="5">
        <f>ROUND(P198+P199,O200)</f>
        <v>1839994.73</v>
      </c>
      <c r="Q200" s="5"/>
      <c r="R200" s="5"/>
      <c r="S200" s="5"/>
      <c r="T200" s="5"/>
      <c r="U200" s="5"/>
      <c r="V200" s="5"/>
      <c r="W200" s="5">
        <v>1604189.47</v>
      </c>
      <c r="X200" s="5">
        <v>1</v>
      </c>
      <c r="Y200" s="5">
        <v>1604189.47</v>
      </c>
      <c r="Z200" s="5">
        <v>1839994.73</v>
      </c>
      <c r="AA200" s="5">
        <v>1</v>
      </c>
      <c r="AB200" s="5">
        <v>1839994.73</v>
      </c>
    </row>
    <row r="202" spans="1:8" ht="12.75">
      <c r="A202" s="6">
        <v>61</v>
      </c>
      <c r="B202" s="6"/>
      <c r="C202" s="6"/>
      <c r="D202" s="6"/>
      <c r="E202" s="6"/>
      <c r="F202" s="6">
        <v>3</v>
      </c>
      <c r="G202" s="6" t="s">
        <v>206</v>
      </c>
      <c r="H202" s="6" t="s">
        <v>207</v>
      </c>
    </row>
    <row r="203" spans="1:8" ht="12.75">
      <c r="A203" s="6">
        <v>61</v>
      </c>
      <c r="B203" s="6"/>
      <c r="C203" s="6"/>
      <c r="D203" s="6"/>
      <c r="E203" s="6"/>
      <c r="F203" s="6">
        <v>2</v>
      </c>
      <c r="G203" s="6" t="s">
        <v>208</v>
      </c>
      <c r="H203" s="6" t="s">
        <v>207</v>
      </c>
    </row>
    <row r="204" spans="1:8" ht="12.75">
      <c r="A204" s="6">
        <v>61</v>
      </c>
      <c r="B204" s="6"/>
      <c r="C204" s="6"/>
      <c r="D204" s="6"/>
      <c r="E204" s="6"/>
      <c r="F204" s="6">
        <v>1</v>
      </c>
      <c r="G204" s="6" t="s">
        <v>209</v>
      </c>
      <c r="H204" s="6" t="s">
        <v>207</v>
      </c>
    </row>
    <row r="207" spans="1:16" ht="12.75">
      <c r="A207">
        <v>70</v>
      </c>
      <c r="B207">
        <v>1</v>
      </c>
      <c r="D207">
        <v>1</v>
      </c>
      <c r="E207" t="s">
        <v>210</v>
      </c>
      <c r="F207" t="s">
        <v>211</v>
      </c>
      <c r="G207">
        <v>0</v>
      </c>
      <c r="H207">
        <v>0</v>
      </c>
      <c r="J207">
        <v>1</v>
      </c>
      <c r="K207">
        <v>0</v>
      </c>
      <c r="N207">
        <v>0</v>
      </c>
      <c r="O207">
        <v>0</v>
      </c>
      <c r="P207" t="s">
        <v>212</v>
      </c>
    </row>
    <row r="208" spans="1:16" ht="12.75">
      <c r="A208">
        <v>70</v>
      </c>
      <c r="B208">
        <v>1</v>
      </c>
      <c r="D208">
        <v>2</v>
      </c>
      <c r="E208" t="s">
        <v>213</v>
      </c>
      <c r="F208" t="s">
        <v>214</v>
      </c>
      <c r="G208">
        <v>1</v>
      </c>
      <c r="H208">
        <v>0</v>
      </c>
      <c r="J208">
        <v>1</v>
      </c>
      <c r="K208">
        <v>0</v>
      </c>
      <c r="N208">
        <v>0</v>
      </c>
      <c r="O208">
        <v>1</v>
      </c>
      <c r="P208" t="s">
        <v>215</v>
      </c>
    </row>
    <row r="209" spans="1:16" ht="12.75">
      <c r="A209">
        <v>70</v>
      </c>
      <c r="B209">
        <v>1</v>
      </c>
      <c r="D209">
        <v>3</v>
      </c>
      <c r="E209" t="s">
        <v>216</v>
      </c>
      <c r="F209" t="s">
        <v>217</v>
      </c>
      <c r="G209">
        <v>0</v>
      </c>
      <c r="H209">
        <v>0</v>
      </c>
      <c r="J209">
        <v>1</v>
      </c>
      <c r="K209">
        <v>0</v>
      </c>
      <c r="N209">
        <v>0</v>
      </c>
      <c r="O209">
        <v>0</v>
      </c>
      <c r="P209" t="s">
        <v>218</v>
      </c>
    </row>
    <row r="210" spans="1:16" ht="12.75">
      <c r="A210">
        <v>70</v>
      </c>
      <c r="B210">
        <v>1</v>
      </c>
      <c r="D210">
        <v>4</v>
      </c>
      <c r="E210" t="s">
        <v>219</v>
      </c>
      <c r="F210" t="s">
        <v>220</v>
      </c>
      <c r="G210">
        <v>1</v>
      </c>
      <c r="H210">
        <v>0</v>
      </c>
      <c r="J210">
        <v>2</v>
      </c>
      <c r="K210">
        <v>0</v>
      </c>
      <c r="N210">
        <v>0</v>
      </c>
      <c r="O210">
        <v>1</v>
      </c>
    </row>
    <row r="211" spans="1:16" ht="12.75">
      <c r="A211">
        <v>70</v>
      </c>
      <c r="B211">
        <v>1</v>
      </c>
      <c r="D211">
        <v>5</v>
      </c>
      <c r="E211" t="s">
        <v>221</v>
      </c>
      <c r="F211" t="s">
        <v>222</v>
      </c>
      <c r="G211">
        <v>0</v>
      </c>
      <c r="H211">
        <v>0</v>
      </c>
      <c r="J211">
        <v>2</v>
      </c>
      <c r="K211">
        <v>0</v>
      </c>
      <c r="N211">
        <v>0</v>
      </c>
      <c r="O211">
        <v>0</v>
      </c>
    </row>
    <row r="212" spans="1:16" ht="12.75">
      <c r="A212">
        <v>70</v>
      </c>
      <c r="B212">
        <v>1</v>
      </c>
      <c r="D212">
        <v>6</v>
      </c>
      <c r="E212" t="s">
        <v>223</v>
      </c>
      <c r="F212" t="s">
        <v>224</v>
      </c>
      <c r="G212">
        <v>0</v>
      </c>
      <c r="H212">
        <v>0</v>
      </c>
      <c r="J212">
        <v>2</v>
      </c>
      <c r="K212">
        <v>0</v>
      </c>
      <c r="N212">
        <v>0</v>
      </c>
      <c r="O212">
        <v>0</v>
      </c>
    </row>
    <row r="213" spans="1:16" ht="12.75">
      <c r="A213">
        <v>70</v>
      </c>
      <c r="B213">
        <v>1</v>
      </c>
      <c r="D213">
        <v>7</v>
      </c>
      <c r="E213" t="s">
        <v>225</v>
      </c>
      <c r="F213" t="s">
        <v>226</v>
      </c>
      <c r="G213">
        <v>0</v>
      </c>
      <c r="H213">
        <v>0</v>
      </c>
      <c r="I213" t="s">
        <v>227</v>
      </c>
      <c r="J213">
        <v>0</v>
      </c>
      <c r="K213">
        <v>0</v>
      </c>
      <c r="N213">
        <v>0</v>
      </c>
      <c r="O213">
        <v>0</v>
      </c>
      <c r="P213" t="s">
        <v>228</v>
      </c>
    </row>
    <row r="214" spans="1:16" ht="12.75">
      <c r="A214">
        <v>70</v>
      </c>
      <c r="B214">
        <v>1</v>
      </c>
      <c r="D214">
        <v>8</v>
      </c>
      <c r="E214" t="s">
        <v>229</v>
      </c>
      <c r="F214" t="s">
        <v>230</v>
      </c>
      <c r="G214">
        <v>1</v>
      </c>
      <c r="H214">
        <v>0</v>
      </c>
      <c r="J214">
        <v>5</v>
      </c>
      <c r="K214">
        <v>0</v>
      </c>
      <c r="N214">
        <v>0</v>
      </c>
      <c r="O214">
        <v>1</v>
      </c>
    </row>
    <row r="215" spans="1:16" ht="12.75">
      <c r="A215">
        <v>70</v>
      </c>
      <c r="B215">
        <v>1</v>
      </c>
      <c r="D215">
        <v>9</v>
      </c>
      <c r="E215" t="s">
        <v>231</v>
      </c>
      <c r="F215" t="s">
        <v>232</v>
      </c>
      <c r="G215">
        <v>0</v>
      </c>
      <c r="H215">
        <v>0</v>
      </c>
      <c r="J215">
        <v>5</v>
      </c>
      <c r="K215">
        <v>0</v>
      </c>
      <c r="N215">
        <v>0</v>
      </c>
      <c r="O215">
        <v>0</v>
      </c>
    </row>
    <row r="216" spans="1:16" ht="12.75">
      <c r="A216">
        <v>70</v>
      </c>
      <c r="B216">
        <v>1</v>
      </c>
      <c r="D216">
        <v>10</v>
      </c>
      <c r="E216" t="s">
        <v>233</v>
      </c>
      <c r="F216" t="s">
        <v>234</v>
      </c>
      <c r="G216">
        <v>0</v>
      </c>
      <c r="H216">
        <v>0</v>
      </c>
      <c r="I216" t="s">
        <v>235</v>
      </c>
      <c r="J216">
        <v>5</v>
      </c>
      <c r="K216">
        <v>0</v>
      </c>
      <c r="N216">
        <v>0</v>
      </c>
      <c r="O216">
        <v>0</v>
      </c>
      <c r="P216" t="s">
        <v>236</v>
      </c>
    </row>
    <row r="217" spans="1:16" ht="12.75">
      <c r="A217">
        <v>70</v>
      </c>
      <c r="B217">
        <v>1</v>
      </c>
      <c r="D217">
        <v>11</v>
      </c>
      <c r="E217" t="s">
        <v>237</v>
      </c>
      <c r="F217" t="s">
        <v>238</v>
      </c>
      <c r="G217">
        <v>0</v>
      </c>
      <c r="H217">
        <v>0</v>
      </c>
      <c r="I217" t="s">
        <v>239</v>
      </c>
      <c r="J217">
        <v>0</v>
      </c>
      <c r="K217">
        <v>0</v>
      </c>
      <c r="N217">
        <v>0</v>
      </c>
      <c r="O217">
        <v>0</v>
      </c>
      <c r="P217" t="s">
        <v>240</v>
      </c>
    </row>
    <row r="218" spans="1:16" ht="12.75">
      <c r="A218">
        <v>70</v>
      </c>
      <c r="B218">
        <v>1</v>
      </c>
      <c r="D218">
        <v>12</v>
      </c>
      <c r="E218" t="s">
        <v>241</v>
      </c>
      <c r="F218" t="s">
        <v>242</v>
      </c>
      <c r="G218">
        <v>0</v>
      </c>
      <c r="H218">
        <v>0</v>
      </c>
      <c r="I218" t="s">
        <v>243</v>
      </c>
      <c r="J218">
        <v>0</v>
      </c>
      <c r="K218">
        <v>0</v>
      </c>
      <c r="N218">
        <v>0</v>
      </c>
      <c r="O218">
        <v>0</v>
      </c>
      <c r="P218" t="s">
        <v>244</v>
      </c>
    </row>
    <row r="219" spans="1:16" ht="12.75">
      <c r="A219">
        <v>70</v>
      </c>
      <c r="B219">
        <v>1</v>
      </c>
      <c r="D219">
        <v>13</v>
      </c>
      <c r="E219" t="s">
        <v>245</v>
      </c>
      <c r="F219" t="s">
        <v>246</v>
      </c>
      <c r="G219">
        <v>0</v>
      </c>
      <c r="H219">
        <v>0</v>
      </c>
      <c r="I219" t="s">
        <v>247</v>
      </c>
      <c r="J219">
        <v>0</v>
      </c>
      <c r="K219">
        <v>0</v>
      </c>
      <c r="N219">
        <v>0</v>
      </c>
      <c r="O219">
        <v>0</v>
      </c>
      <c r="P219" t="s">
        <v>248</v>
      </c>
    </row>
    <row r="220" spans="1:16" ht="12.75">
      <c r="A220">
        <v>70</v>
      </c>
      <c r="B220">
        <v>1</v>
      </c>
      <c r="D220">
        <v>14</v>
      </c>
      <c r="E220" t="s">
        <v>249</v>
      </c>
      <c r="F220" t="s">
        <v>250</v>
      </c>
      <c r="G220">
        <v>0</v>
      </c>
      <c r="H220">
        <v>0</v>
      </c>
      <c r="J220">
        <v>0</v>
      </c>
      <c r="K220">
        <v>0</v>
      </c>
      <c r="N220">
        <v>0</v>
      </c>
      <c r="O220">
        <v>0</v>
      </c>
      <c r="P220" t="s">
        <v>251</v>
      </c>
    </row>
    <row r="221" spans="1:16" ht="12.75">
      <c r="A221">
        <v>70</v>
      </c>
      <c r="B221">
        <v>1</v>
      </c>
      <c r="D221">
        <v>15</v>
      </c>
      <c r="E221" t="s">
        <v>252</v>
      </c>
      <c r="F221" t="s">
        <v>253</v>
      </c>
      <c r="G221">
        <v>0</v>
      </c>
      <c r="H221">
        <v>0</v>
      </c>
      <c r="J221">
        <v>3</v>
      </c>
      <c r="K221">
        <v>0</v>
      </c>
      <c r="N221">
        <v>0</v>
      </c>
      <c r="O221">
        <v>0</v>
      </c>
    </row>
    <row r="222" spans="1:16" ht="12.75">
      <c r="A222">
        <v>70</v>
      </c>
      <c r="B222">
        <v>1</v>
      </c>
      <c r="D222">
        <v>16</v>
      </c>
      <c r="E222" t="s">
        <v>254</v>
      </c>
      <c r="F222" t="s">
        <v>255</v>
      </c>
      <c r="G222">
        <v>1</v>
      </c>
      <c r="H222">
        <v>0</v>
      </c>
      <c r="J222">
        <v>3</v>
      </c>
      <c r="K222">
        <v>0</v>
      </c>
      <c r="N222">
        <v>0</v>
      </c>
      <c r="O222">
        <v>1</v>
      </c>
    </row>
    <row r="223" spans="1:16" ht="12.75">
      <c r="A223">
        <v>70</v>
      </c>
      <c r="B223">
        <v>1</v>
      </c>
      <c r="D223">
        <v>1</v>
      </c>
      <c r="E223" t="s">
        <v>256</v>
      </c>
      <c r="F223" t="s">
        <v>257</v>
      </c>
      <c r="G223">
        <v>0.9</v>
      </c>
      <c r="H223">
        <v>1</v>
      </c>
      <c r="I223" t="s">
        <v>258</v>
      </c>
      <c r="J223">
        <v>0</v>
      </c>
      <c r="K223">
        <v>0</v>
      </c>
      <c r="N223">
        <v>0</v>
      </c>
      <c r="O223">
        <v>0.9</v>
      </c>
      <c r="P223" t="s">
        <v>259</v>
      </c>
    </row>
    <row r="224" spans="1:16" ht="12.75">
      <c r="A224">
        <v>70</v>
      </c>
      <c r="B224">
        <v>1</v>
      </c>
      <c r="D224">
        <v>2</v>
      </c>
      <c r="E224" t="s">
        <v>260</v>
      </c>
      <c r="F224" t="s">
        <v>261</v>
      </c>
      <c r="G224">
        <v>0.85</v>
      </c>
      <c r="H224">
        <v>1</v>
      </c>
      <c r="I224" t="s">
        <v>262</v>
      </c>
      <c r="J224">
        <v>0</v>
      </c>
      <c r="K224">
        <v>0</v>
      </c>
      <c r="N224">
        <v>0</v>
      </c>
      <c r="O224">
        <v>0.85</v>
      </c>
      <c r="P224" t="s">
        <v>263</v>
      </c>
    </row>
    <row r="225" spans="1:16" ht="12.75">
      <c r="A225">
        <v>70</v>
      </c>
      <c r="B225">
        <v>1</v>
      </c>
      <c r="D225">
        <v>3</v>
      </c>
      <c r="E225" t="s">
        <v>264</v>
      </c>
      <c r="F225" t="s">
        <v>265</v>
      </c>
      <c r="G225">
        <v>1.03</v>
      </c>
      <c r="H225">
        <v>0</v>
      </c>
      <c r="J225">
        <v>0</v>
      </c>
      <c r="K225">
        <v>0</v>
      </c>
      <c r="N225">
        <v>0</v>
      </c>
      <c r="O225">
        <v>1.03</v>
      </c>
      <c r="P225" t="s">
        <v>266</v>
      </c>
    </row>
    <row r="226" spans="1:16" ht="12.75">
      <c r="A226">
        <v>70</v>
      </c>
      <c r="B226">
        <v>1</v>
      </c>
      <c r="D226">
        <v>4</v>
      </c>
      <c r="E226" t="s">
        <v>267</v>
      </c>
      <c r="F226" t="s">
        <v>268</v>
      </c>
      <c r="G226">
        <v>1.15</v>
      </c>
      <c r="H226">
        <v>0</v>
      </c>
      <c r="J226">
        <v>0</v>
      </c>
      <c r="K226">
        <v>0</v>
      </c>
      <c r="N226">
        <v>0</v>
      </c>
      <c r="O226">
        <v>1.15</v>
      </c>
      <c r="P226" t="s">
        <v>269</v>
      </c>
    </row>
    <row r="227" spans="1:16" ht="12.75">
      <c r="A227">
        <v>70</v>
      </c>
      <c r="B227">
        <v>1</v>
      </c>
      <c r="D227">
        <v>5</v>
      </c>
      <c r="E227" t="s">
        <v>270</v>
      </c>
      <c r="F227" t="s">
        <v>271</v>
      </c>
      <c r="G227">
        <v>7</v>
      </c>
      <c r="H227">
        <v>0</v>
      </c>
      <c r="J227">
        <v>0</v>
      </c>
      <c r="K227">
        <v>0</v>
      </c>
      <c r="N227">
        <v>0</v>
      </c>
      <c r="O227">
        <v>7</v>
      </c>
    </row>
    <row r="228" spans="1:16" ht="12.75">
      <c r="A228">
        <v>70</v>
      </c>
      <c r="B228">
        <v>1</v>
      </c>
      <c r="D228">
        <v>6</v>
      </c>
      <c r="E228" t="s">
        <v>272</v>
      </c>
      <c r="G228">
        <v>2</v>
      </c>
      <c r="H228">
        <v>0</v>
      </c>
      <c r="J228">
        <v>0</v>
      </c>
      <c r="K228">
        <v>0</v>
      </c>
      <c r="N228">
        <v>0</v>
      </c>
      <c r="O228">
        <v>2</v>
      </c>
    </row>
    <row r="230" ht="12.75">
      <c r="A230">
        <v>-1</v>
      </c>
    </row>
    <row r="232" spans="1:15" ht="12.75">
      <c r="A232" s="4">
        <v>75</v>
      </c>
      <c r="B232" s="4" t="s">
        <v>273</v>
      </c>
      <c r="C232" s="4">
        <v>2000</v>
      </c>
      <c r="D232" s="4">
        <v>0</v>
      </c>
      <c r="E232" s="4">
        <v>1</v>
      </c>
      <c r="F232" s="4"/>
      <c r="G232" s="4">
        <v>0</v>
      </c>
      <c r="H232" s="4">
        <v>1</v>
      </c>
      <c r="I232" s="4">
        <v>0</v>
      </c>
      <c r="J232" s="4">
        <v>3</v>
      </c>
      <c r="K232" s="4">
        <v>0</v>
      </c>
      <c r="L232" s="4">
        <v>0</v>
      </c>
      <c r="M232" s="4">
        <v>0</v>
      </c>
      <c r="N232" s="4">
        <v>55668703</v>
      </c>
      <c r="O232" s="4">
        <v>1</v>
      </c>
    </row>
    <row r="233" spans="1:15" ht="12.75">
      <c r="A233" s="4">
        <v>75</v>
      </c>
      <c r="B233" s="4" t="s">
        <v>274</v>
      </c>
      <c r="C233" s="4">
        <v>2023</v>
      </c>
      <c r="D233" s="4">
        <v>3</v>
      </c>
      <c r="E233" s="4">
        <v>0</v>
      </c>
      <c r="F233" s="4"/>
      <c r="G233" s="4">
        <v>0</v>
      </c>
      <c r="H233" s="4">
        <v>1</v>
      </c>
      <c r="I233" s="4">
        <v>0</v>
      </c>
      <c r="J233" s="4">
        <v>1</v>
      </c>
      <c r="K233" s="4">
        <v>0</v>
      </c>
      <c r="L233" s="4">
        <v>0</v>
      </c>
      <c r="M233" s="4">
        <v>1</v>
      </c>
      <c r="N233" s="4">
        <v>55668704</v>
      </c>
      <c r="O233" s="4">
        <v>2</v>
      </c>
    </row>
    <row r="234" spans="1:40" ht="12.75">
      <c r="A234" s="7">
        <v>3</v>
      </c>
      <c r="B234" s="7" t="s">
        <v>275</v>
      </c>
      <c r="C234" s="7">
        <v>1</v>
      </c>
      <c r="D234" s="7">
        <v>6.72</v>
      </c>
      <c r="E234" s="7">
        <v>13.24</v>
      </c>
      <c r="F234" s="7">
        <v>37.34</v>
      </c>
      <c r="G234" s="7">
        <v>37.34</v>
      </c>
      <c r="H234" s="7">
        <v>1</v>
      </c>
      <c r="I234" s="7">
        <v>1</v>
      </c>
      <c r="J234" s="7">
        <v>2</v>
      </c>
      <c r="K234" s="7">
        <v>1</v>
      </c>
      <c r="L234" s="7">
        <v>13.24</v>
      </c>
      <c r="M234" s="7">
        <v>1</v>
      </c>
      <c r="N234" s="7">
        <v>6.72</v>
      </c>
      <c r="O234" s="7">
        <v>1</v>
      </c>
      <c r="P234" s="7">
        <v>1</v>
      </c>
      <c r="Q234" s="7">
        <v>1</v>
      </c>
      <c r="R234" s="7">
        <v>13.24</v>
      </c>
      <c r="S234" s="7" t="s">
        <v>37</v>
      </c>
      <c r="T234" s="7" t="s">
        <v>3</v>
      </c>
      <c r="U234" s="7" t="s">
        <v>3</v>
      </c>
      <c r="V234" s="7" t="s">
        <v>3</v>
      </c>
      <c r="W234" s="7" t="s">
        <v>3</v>
      </c>
      <c r="X234" s="7" t="s">
        <v>3</v>
      </c>
      <c r="Y234" s="7" t="s">
        <v>3</v>
      </c>
      <c r="Z234" s="7" t="s">
        <v>3</v>
      </c>
      <c r="AA234" s="7" t="s">
        <v>3</v>
      </c>
      <c r="AB234" s="7" t="s">
        <v>3</v>
      </c>
      <c r="AC234" s="7" t="s">
        <v>3</v>
      </c>
      <c r="AD234" s="7" t="s">
        <v>3</v>
      </c>
      <c r="AE234" s="7" t="s">
        <v>3</v>
      </c>
      <c r="AF234" s="7" t="s">
        <v>3</v>
      </c>
      <c r="AG234" s="7" t="s">
        <v>3</v>
      </c>
      <c r="AH234" s="7" t="s">
        <v>3</v>
      </c>
      <c r="AI234" s="7"/>
      <c r="AJ234" s="7"/>
      <c r="AK234" s="7"/>
      <c r="AL234" s="7"/>
      <c r="AM234" s="7"/>
      <c r="AN234" s="7">
        <v>55668705</v>
      </c>
    </row>
    <row r="238" spans="1:5" ht="12.75">
      <c r="A238">
        <v>65</v>
      </c>
      <c r="C238">
        <v>1</v>
      </c>
      <c r="D238">
        <v>0</v>
      </c>
      <c r="E238">
        <v>245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C57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7" ht="12.75">
      <c r="A1">
        <v>0</v>
      </c>
      <c r="B1" t="s">
        <v>0</v>
      </c>
      <c r="D1" t="s">
        <v>276</v>
      </c>
      <c r="F1">
        <v>0</v>
      </c>
      <c r="G1">
        <v>0</v>
      </c>
      <c r="H1">
        <v>0</v>
      </c>
      <c r="I1" t="s">
        <v>2</v>
      </c>
      <c r="K1">
        <v>1</v>
      </c>
      <c r="L1">
        <v>58091</v>
      </c>
      <c r="M1">
        <v>10</v>
      </c>
      <c r="N1">
        <v>11</v>
      </c>
      <c r="O1">
        <v>5</v>
      </c>
      <c r="P1">
        <v>3</v>
      </c>
      <c r="Q1">
        <v>2</v>
      </c>
    </row>
    <row r="12" spans="1:133" ht="12.75">
      <c r="A12" s="1">
        <v>1</v>
      </c>
      <c r="B12" s="1">
        <v>55</v>
      </c>
      <c r="C12" s="1">
        <v>0</v>
      </c>
      <c r="D12" s="1"/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>
        <v>0</v>
      </c>
      <c r="M12" s="1">
        <v>131083</v>
      </c>
      <c r="N12" s="1"/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4</v>
      </c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5</v>
      </c>
      <c r="AC12" s="1" t="s">
        <v>6</v>
      </c>
      <c r="AD12" s="1" t="s">
        <v>7</v>
      </c>
      <c r="AE12" s="1" t="s">
        <v>8</v>
      </c>
      <c r="AF12" s="1" t="s">
        <v>3</v>
      </c>
      <c r="AG12" s="1" t="s">
        <v>3</v>
      </c>
      <c r="AH12" s="1" t="s">
        <v>9</v>
      </c>
      <c r="AI12" s="1" t="s">
        <v>10</v>
      </c>
      <c r="AJ12" s="1" t="s">
        <v>11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>
        <v>2</v>
      </c>
      <c r="BC12" s="1"/>
      <c r="BD12" s="1"/>
      <c r="BE12" s="1"/>
      <c r="BF12" s="1"/>
      <c r="BG12" s="1"/>
      <c r="BH12" s="1" t="s">
        <v>12</v>
      </c>
      <c r="BI12" s="1" t="s">
        <v>13</v>
      </c>
      <c r="BJ12" s="1">
        <v>1</v>
      </c>
      <c r="BK12" s="1">
        <v>1</v>
      </c>
      <c r="BL12" s="1">
        <v>0</v>
      </c>
      <c r="BM12" s="1">
        <v>0</v>
      </c>
      <c r="BN12" s="1">
        <v>1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 t="s">
        <v>14</v>
      </c>
      <c r="BZ12" s="1" t="s">
        <v>15</v>
      </c>
      <c r="CA12" s="1" t="s">
        <v>16</v>
      </c>
      <c r="CB12" s="1" t="s">
        <v>16</v>
      </c>
      <c r="CC12" s="1" t="s">
        <v>16</v>
      </c>
      <c r="CD12" s="1" t="s">
        <v>16</v>
      </c>
      <c r="CE12" s="1" t="s">
        <v>17</v>
      </c>
      <c r="CF12" s="1">
        <v>0</v>
      </c>
      <c r="CG12" s="1">
        <v>0</v>
      </c>
      <c r="CH12" s="1">
        <v>403177480</v>
      </c>
      <c r="CI12" s="1" t="s">
        <v>3</v>
      </c>
      <c r="CJ12" s="1" t="s">
        <v>3</v>
      </c>
      <c r="CK12" s="1">
        <v>9</v>
      </c>
      <c r="CL12" s="1"/>
      <c r="CM12" s="1"/>
      <c r="CN12" s="1"/>
      <c r="CO12" s="1"/>
      <c r="CP12" s="1"/>
      <c r="CQ12" s="1" t="s">
        <v>384</v>
      </c>
      <c r="CR12" s="1" t="s">
        <v>18</v>
      </c>
      <c r="CS12" s="1">
        <v>44551</v>
      </c>
      <c r="CT12" s="1">
        <v>395</v>
      </c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5" ht="12.75">
      <c r="A14" s="1">
        <v>22</v>
      </c>
      <c r="B14" s="1">
        <v>1</v>
      </c>
      <c r="C14" s="1">
        <v>0</v>
      </c>
      <c r="D14" s="1">
        <v>55668703</v>
      </c>
      <c r="E14" s="1">
        <v>55668704</v>
      </c>
      <c r="F14" s="1">
        <v>2</v>
      </c>
      <c r="G14" s="1">
        <v>1</v>
      </c>
      <c r="H14" s="1"/>
      <c r="I14" s="1"/>
      <c r="J14" s="1"/>
      <c r="K14" s="1"/>
      <c r="L14" s="1"/>
      <c r="M14" s="1"/>
      <c r="N14" s="1"/>
      <c r="O14" s="1"/>
    </row>
    <row r="16" spans="1:87" ht="12.75">
      <c r="A16" s="8">
        <v>3</v>
      </c>
      <c r="B16" s="8">
        <v>0</v>
      </c>
      <c r="C16" s="8" t="s">
        <v>3</v>
      </c>
      <c r="D16" s="8" t="s">
        <v>3</v>
      </c>
      <c r="E16" s="9">
        <f>ROUND((Source!F151)/1000,2)</f>
        <v>1079.86</v>
      </c>
      <c r="F16" s="9">
        <f>ROUND((Source!F152)/1000,2)</f>
        <v>256.96</v>
      </c>
      <c r="G16" s="9">
        <f>ROUND((Source!F143)/1000,2)</f>
        <v>0</v>
      </c>
      <c r="H16" s="9">
        <f>ROUND((Source!F153)/1000+(Source!F154)/1000,2)</f>
        <v>0</v>
      </c>
      <c r="I16" s="9">
        <f>E16+F16+G16+H16</f>
        <v>1336.82</v>
      </c>
      <c r="J16" s="9">
        <f>ROUND((Source!F149+Source!F148)/1000,2)</f>
        <v>2</v>
      </c>
      <c r="T16" s="10">
        <f>ROUND((Source!P151)/1000,2)</f>
        <v>1276.37</v>
      </c>
      <c r="U16" s="10">
        <f>ROUND((Source!P152)/1000,2)</f>
        <v>256.96</v>
      </c>
      <c r="V16" s="10">
        <f>ROUND((Source!P143)/1000,2)</f>
        <v>0</v>
      </c>
      <c r="W16" s="10">
        <f>ROUND((Source!P153)/1000+(Source!P154)/1000,2)</f>
        <v>0</v>
      </c>
      <c r="X16" s="10">
        <f>T16+U16+V16+W16</f>
        <v>1533.33</v>
      </c>
      <c r="Y16" s="10">
        <f>ROUND((Source!P149+Source!P148)/1000,2)</f>
        <v>74.71</v>
      </c>
      <c r="AI16" s="8">
        <v>0</v>
      </c>
      <c r="AJ16" s="8">
        <v>-1</v>
      </c>
      <c r="AK16" s="8" t="s">
        <v>3</v>
      </c>
      <c r="AL16" s="8" t="s">
        <v>3</v>
      </c>
      <c r="AM16" s="8" t="s">
        <v>3</v>
      </c>
      <c r="AN16" s="8">
        <v>0</v>
      </c>
      <c r="AO16" s="8" t="s">
        <v>3</v>
      </c>
      <c r="AP16" s="8" t="s">
        <v>3</v>
      </c>
      <c r="AT16" s="9">
        <v>1333824.49</v>
      </c>
      <c r="AU16" s="9">
        <v>1331282.11</v>
      </c>
      <c r="AV16" s="9">
        <v>0</v>
      </c>
      <c r="AW16" s="9">
        <v>0</v>
      </c>
      <c r="AX16" s="9">
        <v>0</v>
      </c>
      <c r="AY16" s="9">
        <v>477.61999999999995</v>
      </c>
      <c r="AZ16" s="9">
        <v>62.760000000000005</v>
      </c>
      <c r="BA16" s="9">
        <v>1938.1299999999999</v>
      </c>
      <c r="BB16" s="9">
        <v>1079864.56</v>
      </c>
      <c r="BC16" s="9">
        <v>256960</v>
      </c>
      <c r="BD16" s="9">
        <v>0</v>
      </c>
      <c r="BE16" s="9">
        <v>0</v>
      </c>
      <c r="BF16" s="9">
        <v>196.457702</v>
      </c>
      <c r="BG16" s="9">
        <v>5.102065</v>
      </c>
      <c r="BH16" s="9">
        <v>0</v>
      </c>
      <c r="BI16" s="9">
        <v>1882.86</v>
      </c>
      <c r="BJ16" s="9">
        <v>1117.21</v>
      </c>
      <c r="BK16" s="9">
        <v>1604189.47</v>
      </c>
      <c r="BR16" s="10">
        <v>1421307.03</v>
      </c>
      <c r="BS16" s="10">
        <v>1340937.04</v>
      </c>
      <c r="BT16" s="10">
        <v>0</v>
      </c>
      <c r="BU16" s="10">
        <v>0</v>
      </c>
      <c r="BV16" s="10">
        <v>0</v>
      </c>
      <c r="BW16" s="10">
        <v>6323.679999999999</v>
      </c>
      <c r="BX16" s="10">
        <v>2343.2599999999998</v>
      </c>
      <c r="BY16" s="10">
        <v>72369.67</v>
      </c>
      <c r="BZ16" s="10">
        <v>1276368.94</v>
      </c>
      <c r="CA16" s="10">
        <v>256960</v>
      </c>
      <c r="CB16" s="10">
        <v>0</v>
      </c>
      <c r="CC16" s="10">
        <v>0</v>
      </c>
      <c r="CD16" s="10">
        <v>196.457702</v>
      </c>
      <c r="CE16" s="10">
        <v>5.102065</v>
      </c>
      <c r="CF16" s="10">
        <v>0</v>
      </c>
      <c r="CG16" s="10">
        <v>70305.36</v>
      </c>
      <c r="CH16" s="10">
        <v>41716.55</v>
      </c>
      <c r="CI16" s="10">
        <v>1839994.73</v>
      </c>
    </row>
    <row r="18" spans="1:40" ht="12.75">
      <c r="A18">
        <v>51</v>
      </c>
      <c r="E18" s="6">
        <f>SUMIF(A16:A17,3,E16:E17)</f>
        <v>1079.86</v>
      </c>
      <c r="F18" s="6">
        <f>SUMIF(A16:A17,3,F16:F17)</f>
        <v>256.96</v>
      </c>
      <c r="G18" s="6">
        <f>SUMIF(A16:A17,3,G16:G17)</f>
        <v>0</v>
      </c>
      <c r="H18" s="6">
        <f>SUMIF(A16:A17,3,H16:H17)</f>
        <v>0</v>
      </c>
      <c r="I18" s="6">
        <f>SUMIF(A16:A17,3,I16:I17)</f>
        <v>1336.82</v>
      </c>
      <c r="J18" s="6">
        <f>SUMIF(A16:A17,3,J16:J17)</f>
        <v>2</v>
      </c>
      <c r="K18" s="6"/>
      <c r="L18" s="6"/>
      <c r="M18" s="6"/>
      <c r="N18" s="6"/>
      <c r="O18" s="6"/>
      <c r="P18" s="6"/>
      <c r="Q18" s="6"/>
      <c r="R18" s="6"/>
      <c r="S18" s="6"/>
      <c r="T18" s="3">
        <f>SUMIF(A16:A17,3,T16:T17)</f>
        <v>1276.37</v>
      </c>
      <c r="U18" s="3">
        <f>SUMIF(A16:A17,3,U16:U17)</f>
        <v>256.96</v>
      </c>
      <c r="V18" s="3">
        <f>SUMIF(A16:A17,3,V16:V17)</f>
        <v>0</v>
      </c>
      <c r="W18" s="3">
        <f>SUMIF(A16:A17,3,W16:W17)</f>
        <v>0</v>
      </c>
      <c r="X18" s="3">
        <f>SUMIF(A16:A17,3,X16:X17)</f>
        <v>1533.33</v>
      </c>
      <c r="Y18" s="3">
        <f>SUMIF(A16:A17,3,Y16:Y17)</f>
        <v>74.71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20" spans="1:16" ht="12.75">
      <c r="A20" s="5">
        <v>50</v>
      </c>
      <c r="B20" s="5">
        <v>0</v>
      </c>
      <c r="C20" s="5">
        <v>0</v>
      </c>
      <c r="D20" s="5">
        <v>1</v>
      </c>
      <c r="E20" s="5">
        <v>201</v>
      </c>
      <c r="F20" s="5">
        <v>1333824.49</v>
      </c>
      <c r="G20" s="5" t="s">
        <v>127</v>
      </c>
      <c r="H20" s="5" t="s">
        <v>128</v>
      </c>
      <c r="I20" s="5"/>
      <c r="J20" s="5"/>
      <c r="K20" s="5">
        <v>201</v>
      </c>
      <c r="L20" s="5">
        <v>1</v>
      </c>
      <c r="M20" s="5">
        <v>3</v>
      </c>
      <c r="N20" s="5" t="s">
        <v>3</v>
      </c>
      <c r="O20" s="5">
        <v>2</v>
      </c>
      <c r="P20" s="5">
        <v>1421307.03</v>
      </c>
    </row>
    <row r="21" spans="1:16" ht="12.75">
      <c r="A21" s="5">
        <v>50</v>
      </c>
      <c r="B21" s="5">
        <v>0</v>
      </c>
      <c r="C21" s="5">
        <v>0</v>
      </c>
      <c r="D21" s="5">
        <v>1</v>
      </c>
      <c r="E21" s="5">
        <v>202</v>
      </c>
      <c r="F21" s="5">
        <v>1331282.11</v>
      </c>
      <c r="G21" s="5" t="s">
        <v>129</v>
      </c>
      <c r="H21" s="5" t="s">
        <v>130</v>
      </c>
      <c r="I21" s="5"/>
      <c r="J21" s="5"/>
      <c r="K21" s="5">
        <v>202</v>
      </c>
      <c r="L21" s="5">
        <v>2</v>
      </c>
      <c r="M21" s="5">
        <v>3</v>
      </c>
      <c r="N21" s="5" t="s">
        <v>3</v>
      </c>
      <c r="O21" s="5">
        <v>2</v>
      </c>
      <c r="P21" s="5">
        <v>1340937.04</v>
      </c>
    </row>
    <row r="22" spans="1:16" ht="12.75">
      <c r="A22" s="5">
        <v>50</v>
      </c>
      <c r="B22" s="5">
        <v>0</v>
      </c>
      <c r="C22" s="5">
        <v>0</v>
      </c>
      <c r="D22" s="5">
        <v>1</v>
      </c>
      <c r="E22" s="5">
        <v>222</v>
      </c>
      <c r="F22" s="5">
        <v>0</v>
      </c>
      <c r="G22" s="5" t="s">
        <v>131</v>
      </c>
      <c r="H22" s="5" t="s">
        <v>132</v>
      </c>
      <c r="I22" s="5"/>
      <c r="J22" s="5"/>
      <c r="K22" s="5">
        <v>222</v>
      </c>
      <c r="L22" s="5">
        <v>3</v>
      </c>
      <c r="M22" s="5">
        <v>3</v>
      </c>
      <c r="N22" s="5" t="s">
        <v>3</v>
      </c>
      <c r="O22" s="5">
        <v>2</v>
      </c>
      <c r="P22" s="5">
        <v>0</v>
      </c>
    </row>
    <row r="23" spans="1:16" ht="12.75">
      <c r="A23" s="5">
        <v>50</v>
      </c>
      <c r="B23" s="5">
        <v>0</v>
      </c>
      <c r="C23" s="5">
        <v>0</v>
      </c>
      <c r="D23" s="5">
        <v>1</v>
      </c>
      <c r="E23" s="5">
        <v>225</v>
      </c>
      <c r="F23" s="5">
        <v>1331282.11</v>
      </c>
      <c r="G23" s="5" t="s">
        <v>133</v>
      </c>
      <c r="H23" s="5" t="s">
        <v>134</v>
      </c>
      <c r="I23" s="5"/>
      <c r="J23" s="5"/>
      <c r="K23" s="5">
        <v>225</v>
      </c>
      <c r="L23" s="5">
        <v>4</v>
      </c>
      <c r="M23" s="5">
        <v>3</v>
      </c>
      <c r="N23" s="5" t="s">
        <v>3</v>
      </c>
      <c r="O23" s="5">
        <v>2</v>
      </c>
      <c r="P23" s="5">
        <v>1340937.04</v>
      </c>
    </row>
    <row r="24" spans="1:16" ht="12.75">
      <c r="A24" s="5">
        <v>50</v>
      </c>
      <c r="B24" s="5">
        <v>0</v>
      </c>
      <c r="C24" s="5">
        <v>0</v>
      </c>
      <c r="D24" s="5">
        <v>1</v>
      </c>
      <c r="E24" s="5">
        <v>226</v>
      </c>
      <c r="F24" s="5">
        <v>1331282.11</v>
      </c>
      <c r="G24" s="5" t="s">
        <v>135</v>
      </c>
      <c r="H24" s="5" t="s">
        <v>136</v>
      </c>
      <c r="I24" s="5"/>
      <c r="J24" s="5"/>
      <c r="K24" s="5">
        <v>226</v>
      </c>
      <c r="L24" s="5">
        <v>5</v>
      </c>
      <c r="M24" s="5">
        <v>3</v>
      </c>
      <c r="N24" s="5" t="s">
        <v>3</v>
      </c>
      <c r="O24" s="5">
        <v>2</v>
      </c>
      <c r="P24" s="5">
        <v>1340937.04</v>
      </c>
    </row>
    <row r="25" spans="1:16" ht="12.75">
      <c r="A25" s="5">
        <v>50</v>
      </c>
      <c r="B25" s="5">
        <v>0</v>
      </c>
      <c r="C25" s="5">
        <v>0</v>
      </c>
      <c r="D25" s="5">
        <v>1</v>
      </c>
      <c r="E25" s="5">
        <v>227</v>
      </c>
      <c r="F25" s="5">
        <v>0</v>
      </c>
      <c r="G25" s="5" t="s">
        <v>137</v>
      </c>
      <c r="H25" s="5" t="s">
        <v>138</v>
      </c>
      <c r="I25" s="5"/>
      <c r="J25" s="5"/>
      <c r="K25" s="5">
        <v>227</v>
      </c>
      <c r="L25" s="5">
        <v>6</v>
      </c>
      <c r="M25" s="5">
        <v>3</v>
      </c>
      <c r="N25" s="5" t="s">
        <v>3</v>
      </c>
      <c r="O25" s="5">
        <v>2</v>
      </c>
      <c r="P25" s="5">
        <v>0</v>
      </c>
    </row>
    <row r="26" spans="1:16" ht="12.75">
      <c r="A26" s="5">
        <v>50</v>
      </c>
      <c r="B26" s="5">
        <v>1</v>
      </c>
      <c r="C26" s="5">
        <v>0</v>
      </c>
      <c r="D26" s="5">
        <v>1</v>
      </c>
      <c r="E26" s="5">
        <v>228</v>
      </c>
      <c r="F26" s="5">
        <v>1331282.11</v>
      </c>
      <c r="G26" s="5" t="s">
        <v>139</v>
      </c>
      <c r="H26" s="5" t="s">
        <v>140</v>
      </c>
      <c r="I26" s="5"/>
      <c r="J26" s="5"/>
      <c r="K26" s="5">
        <v>228</v>
      </c>
      <c r="L26" s="5">
        <v>7</v>
      </c>
      <c r="M26" s="5">
        <v>0</v>
      </c>
      <c r="N26" s="5" t="s">
        <v>3</v>
      </c>
      <c r="O26" s="5">
        <v>2</v>
      </c>
      <c r="P26" s="5">
        <v>1340937.04</v>
      </c>
    </row>
    <row r="27" spans="1:16" ht="12.75">
      <c r="A27" s="5">
        <v>50</v>
      </c>
      <c r="B27" s="5">
        <v>0</v>
      </c>
      <c r="C27" s="5">
        <v>0</v>
      </c>
      <c r="D27" s="5">
        <v>1</v>
      </c>
      <c r="E27" s="5">
        <v>216</v>
      </c>
      <c r="F27" s="5">
        <v>0</v>
      </c>
      <c r="G27" s="5" t="s">
        <v>141</v>
      </c>
      <c r="H27" s="5" t="s">
        <v>142</v>
      </c>
      <c r="I27" s="5"/>
      <c r="J27" s="5"/>
      <c r="K27" s="5">
        <v>216</v>
      </c>
      <c r="L27" s="5">
        <v>8</v>
      </c>
      <c r="M27" s="5">
        <v>3</v>
      </c>
      <c r="N27" s="5" t="s">
        <v>3</v>
      </c>
      <c r="O27" s="5">
        <v>2</v>
      </c>
      <c r="P27" s="5">
        <v>0</v>
      </c>
    </row>
    <row r="28" spans="1:16" ht="12.75">
      <c r="A28" s="5">
        <v>50</v>
      </c>
      <c r="B28" s="5">
        <v>0</v>
      </c>
      <c r="C28" s="5">
        <v>0</v>
      </c>
      <c r="D28" s="5">
        <v>1</v>
      </c>
      <c r="E28" s="5">
        <v>223</v>
      </c>
      <c r="F28" s="5">
        <v>0</v>
      </c>
      <c r="G28" s="5" t="s">
        <v>143</v>
      </c>
      <c r="H28" s="5" t="s">
        <v>144</v>
      </c>
      <c r="I28" s="5"/>
      <c r="J28" s="5"/>
      <c r="K28" s="5">
        <v>223</v>
      </c>
      <c r="L28" s="5">
        <v>9</v>
      </c>
      <c r="M28" s="5">
        <v>3</v>
      </c>
      <c r="N28" s="5" t="s">
        <v>3</v>
      </c>
      <c r="O28" s="5">
        <v>2</v>
      </c>
      <c r="P28" s="5">
        <v>0</v>
      </c>
    </row>
    <row r="29" spans="1:16" ht="12.75">
      <c r="A29" s="5">
        <v>50</v>
      </c>
      <c r="B29" s="5">
        <v>0</v>
      </c>
      <c r="C29" s="5">
        <v>0</v>
      </c>
      <c r="D29" s="5">
        <v>1</v>
      </c>
      <c r="E29" s="5">
        <v>229</v>
      </c>
      <c r="F29" s="5">
        <v>0</v>
      </c>
      <c r="G29" s="5" t="s">
        <v>145</v>
      </c>
      <c r="H29" s="5" t="s">
        <v>146</v>
      </c>
      <c r="I29" s="5"/>
      <c r="J29" s="5"/>
      <c r="K29" s="5">
        <v>229</v>
      </c>
      <c r="L29" s="5">
        <v>10</v>
      </c>
      <c r="M29" s="5">
        <v>3</v>
      </c>
      <c r="N29" s="5" t="s">
        <v>3</v>
      </c>
      <c r="O29" s="5">
        <v>2</v>
      </c>
      <c r="P29" s="5">
        <v>0</v>
      </c>
    </row>
    <row r="30" spans="1:16" ht="12.75">
      <c r="A30" s="5">
        <v>50</v>
      </c>
      <c r="B30" s="5">
        <v>0</v>
      </c>
      <c r="C30" s="5">
        <v>0</v>
      </c>
      <c r="D30" s="5">
        <v>1</v>
      </c>
      <c r="E30" s="5">
        <v>203</v>
      </c>
      <c r="F30" s="5">
        <v>477.61999999999995</v>
      </c>
      <c r="G30" s="5" t="s">
        <v>147</v>
      </c>
      <c r="H30" s="5" t="s">
        <v>148</v>
      </c>
      <c r="I30" s="5"/>
      <c r="J30" s="5"/>
      <c r="K30" s="5">
        <v>203</v>
      </c>
      <c r="L30" s="5">
        <v>11</v>
      </c>
      <c r="M30" s="5">
        <v>3</v>
      </c>
      <c r="N30" s="5" t="s">
        <v>3</v>
      </c>
      <c r="O30" s="5">
        <v>2</v>
      </c>
      <c r="P30" s="5">
        <v>6323.679999999999</v>
      </c>
    </row>
    <row r="31" spans="1:16" ht="12.75">
      <c r="A31" s="5">
        <v>50</v>
      </c>
      <c r="B31" s="5">
        <v>0</v>
      </c>
      <c r="C31" s="5">
        <v>0</v>
      </c>
      <c r="D31" s="5">
        <v>1</v>
      </c>
      <c r="E31" s="5">
        <v>231</v>
      </c>
      <c r="F31" s="5">
        <v>0</v>
      </c>
      <c r="G31" s="5" t="s">
        <v>149</v>
      </c>
      <c r="H31" s="5" t="s">
        <v>150</v>
      </c>
      <c r="I31" s="5"/>
      <c r="J31" s="5"/>
      <c r="K31" s="5">
        <v>231</v>
      </c>
      <c r="L31" s="5">
        <v>12</v>
      </c>
      <c r="M31" s="5">
        <v>3</v>
      </c>
      <c r="N31" s="5" t="s">
        <v>3</v>
      </c>
      <c r="O31" s="5">
        <v>2</v>
      </c>
      <c r="P31" s="5">
        <v>0</v>
      </c>
    </row>
    <row r="32" spans="1:16" ht="12.75">
      <c r="A32" s="5">
        <v>50</v>
      </c>
      <c r="B32" s="5">
        <v>0</v>
      </c>
      <c r="C32" s="5">
        <v>0</v>
      </c>
      <c r="D32" s="5">
        <v>1</v>
      </c>
      <c r="E32" s="5">
        <v>204</v>
      </c>
      <c r="F32" s="5">
        <v>62.760000000000005</v>
      </c>
      <c r="G32" s="5" t="s">
        <v>151</v>
      </c>
      <c r="H32" s="5" t="s">
        <v>152</v>
      </c>
      <c r="I32" s="5"/>
      <c r="J32" s="5"/>
      <c r="K32" s="5">
        <v>204</v>
      </c>
      <c r="L32" s="5">
        <v>13</v>
      </c>
      <c r="M32" s="5">
        <v>3</v>
      </c>
      <c r="N32" s="5" t="s">
        <v>3</v>
      </c>
      <c r="O32" s="5">
        <v>2</v>
      </c>
      <c r="P32" s="5">
        <v>2343.2599999999998</v>
      </c>
    </row>
    <row r="33" spans="1:16" ht="12.75">
      <c r="A33" s="5">
        <v>50</v>
      </c>
      <c r="B33" s="5">
        <v>0</v>
      </c>
      <c r="C33" s="5">
        <v>0</v>
      </c>
      <c r="D33" s="5">
        <v>1</v>
      </c>
      <c r="E33" s="5">
        <v>205</v>
      </c>
      <c r="F33" s="5">
        <v>1938.1299999999999</v>
      </c>
      <c r="G33" s="5" t="s">
        <v>153</v>
      </c>
      <c r="H33" s="5" t="s">
        <v>154</v>
      </c>
      <c r="I33" s="5"/>
      <c r="J33" s="5"/>
      <c r="K33" s="5">
        <v>205</v>
      </c>
      <c r="L33" s="5">
        <v>14</v>
      </c>
      <c r="M33" s="5">
        <v>3</v>
      </c>
      <c r="N33" s="5" t="s">
        <v>3</v>
      </c>
      <c r="O33" s="5">
        <v>2</v>
      </c>
      <c r="P33" s="5">
        <v>72369.67</v>
      </c>
    </row>
    <row r="34" spans="1:16" ht="12.75">
      <c r="A34" s="5">
        <v>50</v>
      </c>
      <c r="B34" s="5">
        <v>0</v>
      </c>
      <c r="C34" s="5">
        <v>0</v>
      </c>
      <c r="D34" s="5">
        <v>1</v>
      </c>
      <c r="E34" s="5">
        <v>232</v>
      </c>
      <c r="F34" s="5">
        <v>0</v>
      </c>
      <c r="G34" s="5" t="s">
        <v>155</v>
      </c>
      <c r="H34" s="5" t="s">
        <v>156</v>
      </c>
      <c r="I34" s="5"/>
      <c r="J34" s="5"/>
      <c r="K34" s="5">
        <v>232</v>
      </c>
      <c r="L34" s="5">
        <v>15</v>
      </c>
      <c r="M34" s="5">
        <v>3</v>
      </c>
      <c r="N34" s="5" t="s">
        <v>3</v>
      </c>
      <c r="O34" s="5">
        <v>2</v>
      </c>
      <c r="P34" s="5">
        <v>0</v>
      </c>
    </row>
    <row r="35" spans="1:16" ht="12.75">
      <c r="A35" s="5">
        <v>50</v>
      </c>
      <c r="B35" s="5">
        <v>0</v>
      </c>
      <c r="C35" s="5">
        <v>0</v>
      </c>
      <c r="D35" s="5">
        <v>1</v>
      </c>
      <c r="E35" s="5">
        <v>214</v>
      </c>
      <c r="F35" s="5">
        <v>1079864.56</v>
      </c>
      <c r="G35" s="5" t="s">
        <v>157</v>
      </c>
      <c r="H35" s="5" t="s">
        <v>158</v>
      </c>
      <c r="I35" s="5"/>
      <c r="J35" s="5"/>
      <c r="K35" s="5">
        <v>214</v>
      </c>
      <c r="L35" s="5">
        <v>16</v>
      </c>
      <c r="M35" s="5">
        <v>3</v>
      </c>
      <c r="N35" s="5" t="s">
        <v>3</v>
      </c>
      <c r="O35" s="5">
        <v>2</v>
      </c>
      <c r="P35" s="5">
        <v>1276368.94</v>
      </c>
    </row>
    <row r="36" spans="1:16" ht="12.75">
      <c r="A36" s="5">
        <v>50</v>
      </c>
      <c r="B36" s="5">
        <v>0</v>
      </c>
      <c r="C36" s="5">
        <v>0</v>
      </c>
      <c r="D36" s="5">
        <v>1</v>
      </c>
      <c r="E36" s="5">
        <v>215</v>
      </c>
      <c r="F36" s="5">
        <v>256960</v>
      </c>
      <c r="G36" s="5" t="s">
        <v>159</v>
      </c>
      <c r="H36" s="5" t="s">
        <v>160</v>
      </c>
      <c r="I36" s="5"/>
      <c r="J36" s="5"/>
      <c r="K36" s="5">
        <v>215</v>
      </c>
      <c r="L36" s="5">
        <v>17</v>
      </c>
      <c r="M36" s="5">
        <v>3</v>
      </c>
      <c r="N36" s="5" t="s">
        <v>3</v>
      </c>
      <c r="O36" s="5">
        <v>2</v>
      </c>
      <c r="P36" s="5">
        <v>256960</v>
      </c>
    </row>
    <row r="37" spans="1:16" ht="12.75">
      <c r="A37" s="5">
        <v>50</v>
      </c>
      <c r="B37" s="5">
        <v>0</v>
      </c>
      <c r="C37" s="5">
        <v>0</v>
      </c>
      <c r="D37" s="5">
        <v>1</v>
      </c>
      <c r="E37" s="5">
        <v>217</v>
      </c>
      <c r="F37" s="5">
        <v>0</v>
      </c>
      <c r="G37" s="5" t="s">
        <v>161</v>
      </c>
      <c r="H37" s="5" t="s">
        <v>162</v>
      </c>
      <c r="I37" s="5"/>
      <c r="J37" s="5"/>
      <c r="K37" s="5">
        <v>217</v>
      </c>
      <c r="L37" s="5">
        <v>18</v>
      </c>
      <c r="M37" s="5">
        <v>3</v>
      </c>
      <c r="N37" s="5" t="s">
        <v>3</v>
      </c>
      <c r="O37" s="5">
        <v>2</v>
      </c>
      <c r="P37" s="5">
        <v>0</v>
      </c>
    </row>
    <row r="38" spans="1:16" ht="12.75">
      <c r="A38" s="5">
        <v>50</v>
      </c>
      <c r="B38" s="5">
        <v>0</v>
      </c>
      <c r="C38" s="5">
        <v>0</v>
      </c>
      <c r="D38" s="5">
        <v>1</v>
      </c>
      <c r="E38" s="5">
        <v>230</v>
      </c>
      <c r="F38" s="5">
        <v>0</v>
      </c>
      <c r="G38" s="5" t="s">
        <v>163</v>
      </c>
      <c r="H38" s="5" t="s">
        <v>164</v>
      </c>
      <c r="I38" s="5"/>
      <c r="J38" s="5"/>
      <c r="K38" s="5">
        <v>230</v>
      </c>
      <c r="L38" s="5">
        <v>19</v>
      </c>
      <c r="M38" s="5">
        <v>3</v>
      </c>
      <c r="N38" s="5" t="s">
        <v>3</v>
      </c>
      <c r="O38" s="5">
        <v>2</v>
      </c>
      <c r="P38" s="5">
        <v>0</v>
      </c>
    </row>
    <row r="39" spans="1:16" ht="12.75">
      <c r="A39" s="5">
        <v>50</v>
      </c>
      <c r="B39" s="5">
        <v>0</v>
      </c>
      <c r="C39" s="5">
        <v>0</v>
      </c>
      <c r="D39" s="5">
        <v>1</v>
      </c>
      <c r="E39" s="5">
        <v>206</v>
      </c>
      <c r="F39" s="5">
        <v>0</v>
      </c>
      <c r="G39" s="5" t="s">
        <v>165</v>
      </c>
      <c r="H39" s="5" t="s">
        <v>166</v>
      </c>
      <c r="I39" s="5"/>
      <c r="J39" s="5"/>
      <c r="K39" s="5">
        <v>206</v>
      </c>
      <c r="L39" s="5">
        <v>20</v>
      </c>
      <c r="M39" s="5">
        <v>3</v>
      </c>
      <c r="N39" s="5" t="s">
        <v>3</v>
      </c>
      <c r="O39" s="5">
        <v>2</v>
      </c>
      <c r="P39" s="5">
        <v>0</v>
      </c>
    </row>
    <row r="40" spans="1:16" ht="12.75">
      <c r="A40" s="5">
        <v>50</v>
      </c>
      <c r="B40" s="5">
        <v>0</v>
      </c>
      <c r="C40" s="5">
        <v>0</v>
      </c>
      <c r="D40" s="5">
        <v>1</v>
      </c>
      <c r="E40" s="5">
        <v>207</v>
      </c>
      <c r="F40" s="5">
        <v>196.457702</v>
      </c>
      <c r="G40" s="5" t="s">
        <v>167</v>
      </c>
      <c r="H40" s="5" t="s">
        <v>168</v>
      </c>
      <c r="I40" s="5"/>
      <c r="J40" s="5"/>
      <c r="K40" s="5">
        <v>207</v>
      </c>
      <c r="L40" s="5">
        <v>21</v>
      </c>
      <c r="M40" s="5">
        <v>3</v>
      </c>
      <c r="N40" s="5" t="s">
        <v>3</v>
      </c>
      <c r="O40" s="5">
        <v>-1</v>
      </c>
      <c r="P40" s="5">
        <v>196.457702</v>
      </c>
    </row>
    <row r="41" spans="1:16" ht="12.75">
      <c r="A41" s="5">
        <v>50</v>
      </c>
      <c r="B41" s="5">
        <v>0</v>
      </c>
      <c r="C41" s="5">
        <v>0</v>
      </c>
      <c r="D41" s="5">
        <v>1</v>
      </c>
      <c r="E41" s="5">
        <v>208</v>
      </c>
      <c r="F41" s="5">
        <v>5.102065</v>
      </c>
      <c r="G41" s="5" t="s">
        <v>169</v>
      </c>
      <c r="H41" s="5" t="s">
        <v>170</v>
      </c>
      <c r="I41" s="5"/>
      <c r="J41" s="5"/>
      <c r="K41" s="5">
        <v>208</v>
      </c>
      <c r="L41" s="5">
        <v>22</v>
      </c>
      <c r="M41" s="5">
        <v>3</v>
      </c>
      <c r="N41" s="5" t="s">
        <v>3</v>
      </c>
      <c r="O41" s="5">
        <v>-1</v>
      </c>
      <c r="P41" s="5">
        <v>5.102065</v>
      </c>
    </row>
    <row r="42" spans="1:16" ht="12.75">
      <c r="A42" s="5">
        <v>50</v>
      </c>
      <c r="B42" s="5">
        <v>0</v>
      </c>
      <c r="C42" s="5">
        <v>0</v>
      </c>
      <c r="D42" s="5">
        <v>1</v>
      </c>
      <c r="E42" s="5">
        <v>209</v>
      </c>
      <c r="F42" s="5">
        <v>0</v>
      </c>
      <c r="G42" s="5" t="s">
        <v>171</v>
      </c>
      <c r="H42" s="5" t="s">
        <v>172</v>
      </c>
      <c r="I42" s="5"/>
      <c r="J42" s="5"/>
      <c r="K42" s="5">
        <v>209</v>
      </c>
      <c r="L42" s="5">
        <v>23</v>
      </c>
      <c r="M42" s="5">
        <v>3</v>
      </c>
      <c r="N42" s="5" t="s">
        <v>3</v>
      </c>
      <c r="O42" s="5">
        <v>2</v>
      </c>
      <c r="P42" s="5">
        <v>0</v>
      </c>
    </row>
    <row r="43" spans="1:16" ht="12.75">
      <c r="A43" s="5">
        <v>50</v>
      </c>
      <c r="B43" s="5">
        <v>0</v>
      </c>
      <c r="C43" s="5">
        <v>0</v>
      </c>
      <c r="D43" s="5">
        <v>1</v>
      </c>
      <c r="E43" s="5">
        <v>233</v>
      </c>
      <c r="F43" s="5">
        <v>126.63</v>
      </c>
      <c r="G43" s="5" t="s">
        <v>173</v>
      </c>
      <c r="H43" s="5" t="s">
        <v>174</v>
      </c>
      <c r="I43" s="5"/>
      <c r="J43" s="5"/>
      <c r="K43" s="5">
        <v>233</v>
      </c>
      <c r="L43" s="5">
        <v>24</v>
      </c>
      <c r="M43" s="5">
        <v>3</v>
      </c>
      <c r="N43" s="5" t="s">
        <v>3</v>
      </c>
      <c r="O43" s="5">
        <v>2</v>
      </c>
      <c r="P43" s="5">
        <v>1676.64</v>
      </c>
    </row>
    <row r="44" spans="1:16" ht="12.75">
      <c r="A44" s="5">
        <v>50</v>
      </c>
      <c r="B44" s="5">
        <v>0</v>
      </c>
      <c r="C44" s="5">
        <v>0</v>
      </c>
      <c r="D44" s="5">
        <v>1</v>
      </c>
      <c r="E44" s="5">
        <v>210</v>
      </c>
      <c r="F44" s="5">
        <v>1882.86</v>
      </c>
      <c r="G44" s="5" t="s">
        <v>175</v>
      </c>
      <c r="H44" s="5" t="s">
        <v>176</v>
      </c>
      <c r="I44" s="5"/>
      <c r="J44" s="5"/>
      <c r="K44" s="5">
        <v>210</v>
      </c>
      <c r="L44" s="5">
        <v>25</v>
      </c>
      <c r="M44" s="5">
        <v>3</v>
      </c>
      <c r="N44" s="5" t="s">
        <v>3</v>
      </c>
      <c r="O44" s="5">
        <v>2</v>
      </c>
      <c r="P44" s="5">
        <v>70305.36</v>
      </c>
    </row>
    <row r="45" spans="1:16" ht="12.75">
      <c r="A45" s="5">
        <v>50</v>
      </c>
      <c r="B45" s="5">
        <v>0</v>
      </c>
      <c r="C45" s="5">
        <v>0</v>
      </c>
      <c r="D45" s="5">
        <v>1</v>
      </c>
      <c r="E45" s="5">
        <v>211</v>
      </c>
      <c r="F45" s="5">
        <v>1117.21</v>
      </c>
      <c r="G45" s="5" t="s">
        <v>177</v>
      </c>
      <c r="H45" s="5" t="s">
        <v>178</v>
      </c>
      <c r="I45" s="5"/>
      <c r="J45" s="5"/>
      <c r="K45" s="5">
        <v>211</v>
      </c>
      <c r="L45" s="5">
        <v>26</v>
      </c>
      <c r="M45" s="5">
        <v>3</v>
      </c>
      <c r="N45" s="5" t="s">
        <v>3</v>
      </c>
      <c r="O45" s="5">
        <v>2</v>
      </c>
      <c r="P45" s="5">
        <v>41716.55</v>
      </c>
    </row>
    <row r="46" spans="1:16" ht="12.75">
      <c r="A46" s="5">
        <v>50</v>
      </c>
      <c r="B46" s="5">
        <v>0</v>
      </c>
      <c r="C46" s="5">
        <v>0</v>
      </c>
      <c r="D46" s="5">
        <v>1</v>
      </c>
      <c r="E46" s="5">
        <v>0</v>
      </c>
      <c r="F46" s="5">
        <v>1336824.56</v>
      </c>
      <c r="G46" s="5" t="s">
        <v>179</v>
      </c>
      <c r="H46" s="5" t="s">
        <v>180</v>
      </c>
      <c r="I46" s="5"/>
      <c r="J46" s="5"/>
      <c r="K46" s="5">
        <v>224</v>
      </c>
      <c r="L46" s="5">
        <v>27</v>
      </c>
      <c r="M46" s="5">
        <v>3</v>
      </c>
      <c r="N46" s="5" t="s">
        <v>3</v>
      </c>
      <c r="O46" s="5">
        <v>2</v>
      </c>
      <c r="P46" s="5">
        <v>1533328.9400000002</v>
      </c>
    </row>
    <row r="47" spans="1:16" ht="12.75">
      <c r="A47" s="5">
        <v>50</v>
      </c>
      <c r="B47" s="5">
        <v>0</v>
      </c>
      <c r="C47" s="5">
        <v>0</v>
      </c>
      <c r="D47" s="5">
        <v>2</v>
      </c>
      <c r="E47" s="5">
        <v>0</v>
      </c>
      <c r="F47" s="5">
        <v>1331282.11</v>
      </c>
      <c r="G47" s="5" t="s">
        <v>198</v>
      </c>
      <c r="H47" s="5" t="s">
        <v>198</v>
      </c>
      <c r="I47" s="5"/>
      <c r="J47" s="5"/>
      <c r="K47" s="5">
        <v>212</v>
      </c>
      <c r="L47" s="5">
        <v>28</v>
      </c>
      <c r="M47" s="5">
        <v>3</v>
      </c>
      <c r="N47" s="5" t="s">
        <v>3</v>
      </c>
      <c r="O47" s="5">
        <v>2</v>
      </c>
      <c r="P47" s="5">
        <v>1340937.04</v>
      </c>
    </row>
    <row r="48" spans="1:16" ht="12.75">
      <c r="A48" s="5">
        <v>50</v>
      </c>
      <c r="B48" s="5">
        <v>0</v>
      </c>
      <c r="C48" s="5">
        <v>0</v>
      </c>
      <c r="D48" s="5">
        <v>2</v>
      </c>
      <c r="E48" s="5">
        <v>0</v>
      </c>
      <c r="F48" s="5">
        <v>1336824.56</v>
      </c>
      <c r="G48" s="5" t="s">
        <v>199</v>
      </c>
      <c r="H48" s="5" t="s">
        <v>179</v>
      </c>
      <c r="I48" s="5"/>
      <c r="J48" s="5"/>
      <c r="K48" s="5">
        <v>212</v>
      </c>
      <c r="L48" s="5">
        <v>29</v>
      </c>
      <c r="M48" s="5">
        <v>3</v>
      </c>
      <c r="N48" s="5" t="s">
        <v>3</v>
      </c>
      <c r="O48" s="5">
        <v>2</v>
      </c>
      <c r="P48" s="5">
        <v>1533328.94</v>
      </c>
    </row>
    <row r="49" spans="1:16" ht="12.75">
      <c r="A49" s="5">
        <v>50</v>
      </c>
      <c r="B49" s="5">
        <v>0</v>
      </c>
      <c r="C49" s="5">
        <v>0</v>
      </c>
      <c r="D49" s="5">
        <v>2</v>
      </c>
      <c r="E49" s="5">
        <v>0</v>
      </c>
      <c r="F49" s="5">
        <v>267364.91</v>
      </c>
      <c r="G49" s="5" t="s">
        <v>204</v>
      </c>
      <c r="H49" s="5" t="s">
        <v>201</v>
      </c>
      <c r="I49" s="5"/>
      <c r="J49" s="5"/>
      <c r="K49" s="5">
        <v>212</v>
      </c>
      <c r="L49" s="5">
        <v>32</v>
      </c>
      <c r="M49" s="5">
        <v>3</v>
      </c>
      <c r="N49" s="5" t="s">
        <v>3</v>
      </c>
      <c r="O49" s="5">
        <v>2</v>
      </c>
      <c r="P49" s="5">
        <v>306665.79</v>
      </c>
    </row>
    <row r="50" spans="1:16" ht="12.75">
      <c r="A50" s="5">
        <v>50</v>
      </c>
      <c r="B50" s="5">
        <v>0</v>
      </c>
      <c r="C50" s="5">
        <v>0</v>
      </c>
      <c r="D50" s="5">
        <v>2</v>
      </c>
      <c r="E50" s="5">
        <v>224</v>
      </c>
      <c r="F50" s="5">
        <v>1604189.47</v>
      </c>
      <c r="G50" s="5" t="s">
        <v>205</v>
      </c>
      <c r="H50" s="5" t="s">
        <v>202</v>
      </c>
      <c r="I50" s="5"/>
      <c r="J50" s="5"/>
      <c r="K50" s="5">
        <v>212</v>
      </c>
      <c r="L50" s="5">
        <v>33</v>
      </c>
      <c r="M50" s="5">
        <v>3</v>
      </c>
      <c r="N50" s="5" t="s">
        <v>3</v>
      </c>
      <c r="O50" s="5">
        <v>2</v>
      </c>
      <c r="P50" s="5">
        <v>1839994.73</v>
      </c>
    </row>
    <row r="52" ht="12.75">
      <c r="A52">
        <v>-1</v>
      </c>
    </row>
    <row r="55" spans="1:15" ht="12.75">
      <c r="A55" s="4">
        <v>75</v>
      </c>
      <c r="B55" s="4" t="s">
        <v>273</v>
      </c>
      <c r="C55" s="4">
        <v>2000</v>
      </c>
      <c r="D55" s="4">
        <v>0</v>
      </c>
      <c r="E55" s="4">
        <v>1</v>
      </c>
      <c r="F55" s="4"/>
      <c r="G55" s="4">
        <v>0</v>
      </c>
      <c r="H55" s="4">
        <v>1</v>
      </c>
      <c r="I55" s="4">
        <v>0</v>
      </c>
      <c r="J55" s="4">
        <v>3</v>
      </c>
      <c r="K55" s="4">
        <v>0</v>
      </c>
      <c r="L55" s="4">
        <v>0</v>
      </c>
      <c r="M55" s="4">
        <v>0</v>
      </c>
      <c r="N55" s="4">
        <v>55668703</v>
      </c>
      <c r="O55" s="4">
        <v>1</v>
      </c>
    </row>
    <row r="56" spans="1:15" ht="12.75">
      <c r="A56" s="4">
        <v>75</v>
      </c>
      <c r="B56" s="4" t="s">
        <v>274</v>
      </c>
      <c r="C56" s="4">
        <v>2023</v>
      </c>
      <c r="D56" s="4">
        <v>3</v>
      </c>
      <c r="E56" s="4">
        <v>0</v>
      </c>
      <c r="F56" s="4"/>
      <c r="G56" s="4">
        <v>0</v>
      </c>
      <c r="H56" s="4">
        <v>1</v>
      </c>
      <c r="I56" s="4">
        <v>0</v>
      </c>
      <c r="J56" s="4">
        <v>1</v>
      </c>
      <c r="K56" s="4">
        <v>0</v>
      </c>
      <c r="L56" s="4">
        <v>0</v>
      </c>
      <c r="M56" s="4">
        <v>1</v>
      </c>
      <c r="N56" s="4">
        <v>55668704</v>
      </c>
      <c r="O56" s="4">
        <v>2</v>
      </c>
    </row>
    <row r="57" spans="1:40" ht="12.75">
      <c r="A57" s="7">
        <v>3</v>
      </c>
      <c r="B57" s="7" t="s">
        <v>275</v>
      </c>
      <c r="C57" s="7">
        <v>1</v>
      </c>
      <c r="D57" s="7">
        <v>6.72</v>
      </c>
      <c r="E57" s="7">
        <v>13.24</v>
      </c>
      <c r="F57" s="7">
        <v>37.34</v>
      </c>
      <c r="G57" s="7">
        <v>37.34</v>
      </c>
      <c r="H57" s="7">
        <v>1</v>
      </c>
      <c r="I57" s="7">
        <v>1</v>
      </c>
      <c r="J57" s="7">
        <v>2</v>
      </c>
      <c r="K57" s="7">
        <v>1</v>
      </c>
      <c r="L57" s="7">
        <v>13.24</v>
      </c>
      <c r="M57" s="7">
        <v>1</v>
      </c>
      <c r="N57" s="7">
        <v>6.72</v>
      </c>
      <c r="O57" s="7">
        <v>1</v>
      </c>
      <c r="P57" s="7">
        <v>1</v>
      </c>
      <c r="Q57" s="7">
        <v>1</v>
      </c>
      <c r="R57" s="7">
        <v>13.24</v>
      </c>
      <c r="S57" s="7" t="s">
        <v>37</v>
      </c>
      <c r="T57" s="7" t="s">
        <v>3</v>
      </c>
      <c r="U57" s="7" t="s">
        <v>3</v>
      </c>
      <c r="V57" s="7" t="s">
        <v>3</v>
      </c>
      <c r="W57" s="7" t="s">
        <v>3</v>
      </c>
      <c r="X57" s="7" t="s">
        <v>3</v>
      </c>
      <c r="Y57" s="7" t="s">
        <v>3</v>
      </c>
      <c r="Z57" s="7" t="s">
        <v>3</v>
      </c>
      <c r="AA57" s="7" t="s">
        <v>3</v>
      </c>
      <c r="AB57" s="7" t="s">
        <v>3</v>
      </c>
      <c r="AC57" s="7" t="s">
        <v>3</v>
      </c>
      <c r="AD57" s="7" t="s">
        <v>3</v>
      </c>
      <c r="AE57" s="7" t="s">
        <v>3</v>
      </c>
      <c r="AF57" s="7" t="s">
        <v>3</v>
      </c>
      <c r="AG57" s="7" t="s">
        <v>3</v>
      </c>
      <c r="AH57" s="7" t="s">
        <v>3</v>
      </c>
      <c r="AI57" s="7"/>
      <c r="AJ57" s="7"/>
      <c r="AK57" s="7"/>
      <c r="AL57" s="7"/>
      <c r="AM57" s="7"/>
      <c r="AN57" s="7">
        <v>55668705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C124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07" ht="12.75">
      <c r="A1">
        <f>ROW(Source!A28)</f>
        <v>28</v>
      </c>
      <c r="B1">
        <v>55668703</v>
      </c>
      <c r="C1">
        <v>55668882</v>
      </c>
      <c r="D1">
        <v>53630123</v>
      </c>
      <c r="E1">
        <v>70</v>
      </c>
      <c r="F1">
        <v>1</v>
      </c>
      <c r="G1">
        <v>1</v>
      </c>
      <c r="H1">
        <v>1</v>
      </c>
      <c r="I1" t="s">
        <v>277</v>
      </c>
      <c r="K1" t="s">
        <v>278</v>
      </c>
      <c r="L1">
        <v>1191</v>
      </c>
      <c r="N1">
        <v>1013</v>
      </c>
      <c r="O1" t="s">
        <v>279</v>
      </c>
      <c r="P1" t="s">
        <v>279</v>
      </c>
      <c r="Q1">
        <v>1</v>
      </c>
      <c r="W1">
        <v>0</v>
      </c>
      <c r="X1">
        <v>-1841613679</v>
      </c>
      <c r="Y1">
        <v>208.6</v>
      </c>
      <c r="AA1">
        <v>0</v>
      </c>
      <c r="AB1">
        <v>0</v>
      </c>
      <c r="AC1">
        <v>0</v>
      </c>
      <c r="AD1">
        <v>10.06</v>
      </c>
      <c r="AE1">
        <v>0</v>
      </c>
      <c r="AF1">
        <v>0</v>
      </c>
      <c r="AG1">
        <v>0</v>
      </c>
      <c r="AH1">
        <v>10.06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1</v>
      </c>
      <c r="AQ1">
        <v>0</v>
      </c>
      <c r="AR1">
        <v>0</v>
      </c>
      <c r="AT1">
        <v>298</v>
      </c>
      <c r="AU1" t="s">
        <v>30</v>
      </c>
      <c r="AV1">
        <v>1</v>
      </c>
      <c r="AW1">
        <v>2</v>
      </c>
      <c r="AX1">
        <v>55668892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Y1*Source!I28</f>
        <v>66.752</v>
      </c>
      <c r="CY1">
        <f>AD1</f>
        <v>10.06</v>
      </c>
      <c r="CZ1">
        <f>AH1</f>
        <v>10.06</v>
      </c>
      <c r="DA1">
        <f>AL1</f>
        <v>1</v>
      </c>
      <c r="DB1">
        <f>ROUND((ROUND(AT1*CZ1,2)*ROUND(0.7,7)),2)</f>
        <v>2098.52</v>
      </c>
      <c r="DC1">
        <f>ROUND((ROUND(AT1*AG1,2)*ROUND(0.7,7)),2)</f>
        <v>0</v>
      </c>
    </row>
    <row r="2" spans="1:107" ht="12.75">
      <c r="A2">
        <f>ROW(Source!A28)</f>
        <v>28</v>
      </c>
      <c r="B2">
        <v>55668703</v>
      </c>
      <c r="C2">
        <v>55668882</v>
      </c>
      <c r="D2">
        <v>53630257</v>
      </c>
      <c r="E2">
        <v>70</v>
      </c>
      <c r="F2">
        <v>1</v>
      </c>
      <c r="G2">
        <v>1</v>
      </c>
      <c r="H2">
        <v>1</v>
      </c>
      <c r="I2" t="s">
        <v>280</v>
      </c>
      <c r="K2" t="s">
        <v>281</v>
      </c>
      <c r="L2">
        <v>1191</v>
      </c>
      <c r="N2">
        <v>1013</v>
      </c>
      <c r="O2" t="s">
        <v>279</v>
      </c>
      <c r="P2" t="s">
        <v>279</v>
      </c>
      <c r="Q2">
        <v>1</v>
      </c>
      <c r="W2">
        <v>0</v>
      </c>
      <c r="X2">
        <v>-1417349443</v>
      </c>
      <c r="Y2">
        <v>1.736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1</v>
      </c>
      <c r="AP2">
        <v>1</v>
      </c>
      <c r="AQ2">
        <v>0</v>
      </c>
      <c r="AR2">
        <v>0</v>
      </c>
      <c r="AT2">
        <v>2.48</v>
      </c>
      <c r="AU2" t="s">
        <v>30</v>
      </c>
      <c r="AV2">
        <v>2</v>
      </c>
      <c r="AW2">
        <v>2</v>
      </c>
      <c r="AX2">
        <v>55668893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Y2*Source!I28</f>
        <v>0.55552</v>
      </c>
      <c r="CY2">
        <f>AD2</f>
        <v>0</v>
      </c>
      <c r="CZ2">
        <f>AH2</f>
        <v>0</v>
      </c>
      <c r="DA2">
        <f>AL2</f>
        <v>1</v>
      </c>
      <c r="DB2">
        <f>ROUND((ROUND(AT2*CZ2,2)*ROUND(0.7,7)),2)</f>
        <v>0</v>
      </c>
      <c r="DC2">
        <f>ROUND((ROUND(AT2*AG2,2)*ROUND(0.7,7)),2)</f>
        <v>0</v>
      </c>
    </row>
    <row r="3" spans="1:107" ht="12.75">
      <c r="A3">
        <f>ROW(Source!A28)</f>
        <v>28</v>
      </c>
      <c r="B3">
        <v>55668703</v>
      </c>
      <c r="C3">
        <v>55668882</v>
      </c>
      <c r="D3">
        <v>53791997</v>
      </c>
      <c r="E3">
        <v>1</v>
      </c>
      <c r="F3">
        <v>1</v>
      </c>
      <c r="G3">
        <v>1</v>
      </c>
      <c r="H3">
        <v>2</v>
      </c>
      <c r="I3" t="s">
        <v>282</v>
      </c>
      <c r="J3" t="s">
        <v>283</v>
      </c>
      <c r="K3" t="s">
        <v>284</v>
      </c>
      <c r="L3">
        <v>1367</v>
      </c>
      <c r="N3">
        <v>1011</v>
      </c>
      <c r="O3" t="s">
        <v>285</v>
      </c>
      <c r="P3" t="s">
        <v>285</v>
      </c>
      <c r="Q3">
        <v>1</v>
      </c>
      <c r="W3">
        <v>0</v>
      </c>
      <c r="X3">
        <v>-430484415</v>
      </c>
      <c r="Y3">
        <v>1.54</v>
      </c>
      <c r="AA3">
        <v>0</v>
      </c>
      <c r="AB3">
        <v>115.4</v>
      </c>
      <c r="AC3">
        <v>13.5</v>
      </c>
      <c r="AD3">
        <v>0</v>
      </c>
      <c r="AE3">
        <v>0</v>
      </c>
      <c r="AF3">
        <v>115.4</v>
      </c>
      <c r="AG3">
        <v>13.5</v>
      </c>
      <c r="AH3">
        <v>0</v>
      </c>
      <c r="AI3">
        <v>1</v>
      </c>
      <c r="AJ3">
        <v>1</v>
      </c>
      <c r="AK3">
        <v>1</v>
      </c>
      <c r="AL3">
        <v>1</v>
      </c>
      <c r="AN3">
        <v>0</v>
      </c>
      <c r="AO3">
        <v>1</v>
      </c>
      <c r="AP3">
        <v>1</v>
      </c>
      <c r="AQ3">
        <v>0</v>
      </c>
      <c r="AR3">
        <v>0</v>
      </c>
      <c r="AT3">
        <v>2.2</v>
      </c>
      <c r="AU3" t="s">
        <v>30</v>
      </c>
      <c r="AV3">
        <v>0</v>
      </c>
      <c r="AW3">
        <v>2</v>
      </c>
      <c r="AX3">
        <v>55668894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Y3*Source!I28</f>
        <v>0.4928</v>
      </c>
      <c r="CY3">
        <f>AB3</f>
        <v>115.4</v>
      </c>
      <c r="CZ3">
        <f>AF3</f>
        <v>115.4</v>
      </c>
      <c r="DA3">
        <f>AJ3</f>
        <v>1</v>
      </c>
      <c r="DB3">
        <f>ROUND((ROUND(AT3*CZ3,2)*ROUND(0.7,7)),2)</f>
        <v>177.72</v>
      </c>
      <c r="DC3">
        <f>ROUND((ROUND(AT3*AG3,2)*ROUND(0.7,7)),2)</f>
        <v>20.79</v>
      </c>
    </row>
    <row r="4" spans="1:107" ht="12.75">
      <c r="A4">
        <f>ROW(Source!A28)</f>
        <v>28</v>
      </c>
      <c r="B4">
        <v>55668703</v>
      </c>
      <c r="C4">
        <v>55668882</v>
      </c>
      <c r="D4">
        <v>53792134</v>
      </c>
      <c r="E4">
        <v>1</v>
      </c>
      <c r="F4">
        <v>1</v>
      </c>
      <c r="G4">
        <v>1</v>
      </c>
      <c r="H4">
        <v>2</v>
      </c>
      <c r="I4" t="s">
        <v>286</v>
      </c>
      <c r="J4" t="s">
        <v>287</v>
      </c>
      <c r="K4" t="s">
        <v>288</v>
      </c>
      <c r="L4">
        <v>1367</v>
      </c>
      <c r="N4">
        <v>1011</v>
      </c>
      <c r="O4" t="s">
        <v>285</v>
      </c>
      <c r="P4" t="s">
        <v>285</v>
      </c>
      <c r="Q4">
        <v>1</v>
      </c>
      <c r="W4">
        <v>0</v>
      </c>
      <c r="X4">
        <v>-382331097</v>
      </c>
      <c r="Y4">
        <v>30.729999999999997</v>
      </c>
      <c r="AA4">
        <v>0</v>
      </c>
      <c r="AB4">
        <v>6.9</v>
      </c>
      <c r="AC4">
        <v>0</v>
      </c>
      <c r="AD4">
        <v>0</v>
      </c>
      <c r="AE4">
        <v>0</v>
      </c>
      <c r="AF4">
        <v>6.9</v>
      </c>
      <c r="AG4">
        <v>0</v>
      </c>
      <c r="AH4">
        <v>0</v>
      </c>
      <c r="AI4">
        <v>1</v>
      </c>
      <c r="AJ4">
        <v>1</v>
      </c>
      <c r="AK4">
        <v>1</v>
      </c>
      <c r="AL4">
        <v>1</v>
      </c>
      <c r="AN4">
        <v>0</v>
      </c>
      <c r="AO4">
        <v>1</v>
      </c>
      <c r="AP4">
        <v>1</v>
      </c>
      <c r="AQ4">
        <v>0</v>
      </c>
      <c r="AR4">
        <v>0</v>
      </c>
      <c r="AT4">
        <v>43.9</v>
      </c>
      <c r="AU4" t="s">
        <v>30</v>
      </c>
      <c r="AV4">
        <v>0</v>
      </c>
      <c r="AW4">
        <v>2</v>
      </c>
      <c r="AX4">
        <v>55668895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Y4*Source!I28</f>
        <v>9.833599999999999</v>
      </c>
      <c r="CY4">
        <f>AB4</f>
        <v>6.9</v>
      </c>
      <c r="CZ4">
        <f>AF4</f>
        <v>6.9</v>
      </c>
      <c r="DA4">
        <f>AJ4</f>
        <v>1</v>
      </c>
      <c r="DB4">
        <f>ROUND((ROUND(AT4*CZ4,2)*ROUND(0.7,7)),2)</f>
        <v>212.04</v>
      </c>
      <c r="DC4">
        <f>ROUND((ROUND(AT4*AG4,2)*ROUND(0.7,7)),2)</f>
        <v>0</v>
      </c>
    </row>
    <row r="5" spans="1:107" ht="12.75">
      <c r="A5">
        <f>ROW(Source!A28)</f>
        <v>28</v>
      </c>
      <c r="B5">
        <v>55668703</v>
      </c>
      <c r="C5">
        <v>55668882</v>
      </c>
      <c r="D5">
        <v>53792927</v>
      </c>
      <c r="E5">
        <v>1</v>
      </c>
      <c r="F5">
        <v>1</v>
      </c>
      <c r="G5">
        <v>1</v>
      </c>
      <c r="H5">
        <v>2</v>
      </c>
      <c r="I5" t="s">
        <v>289</v>
      </c>
      <c r="J5" t="s">
        <v>290</v>
      </c>
      <c r="K5" t="s">
        <v>291</v>
      </c>
      <c r="L5">
        <v>1367</v>
      </c>
      <c r="N5">
        <v>1011</v>
      </c>
      <c r="O5" t="s">
        <v>285</v>
      </c>
      <c r="P5" t="s">
        <v>285</v>
      </c>
      <c r="Q5">
        <v>1</v>
      </c>
      <c r="W5">
        <v>0</v>
      </c>
      <c r="X5">
        <v>509054691</v>
      </c>
      <c r="Y5">
        <v>0.196</v>
      </c>
      <c r="AA5">
        <v>0</v>
      </c>
      <c r="AB5">
        <v>65.71</v>
      </c>
      <c r="AC5">
        <v>11.6</v>
      </c>
      <c r="AD5">
        <v>0</v>
      </c>
      <c r="AE5">
        <v>0</v>
      </c>
      <c r="AF5">
        <v>65.71</v>
      </c>
      <c r="AG5">
        <v>11.6</v>
      </c>
      <c r="AH5">
        <v>0</v>
      </c>
      <c r="AI5">
        <v>1</v>
      </c>
      <c r="AJ5">
        <v>1</v>
      </c>
      <c r="AK5">
        <v>1</v>
      </c>
      <c r="AL5">
        <v>1</v>
      </c>
      <c r="AN5">
        <v>0</v>
      </c>
      <c r="AO5">
        <v>1</v>
      </c>
      <c r="AP5">
        <v>1</v>
      </c>
      <c r="AQ5">
        <v>0</v>
      </c>
      <c r="AR5">
        <v>0</v>
      </c>
      <c r="AT5">
        <v>0.28</v>
      </c>
      <c r="AU5" t="s">
        <v>30</v>
      </c>
      <c r="AV5">
        <v>0</v>
      </c>
      <c r="AW5">
        <v>2</v>
      </c>
      <c r="AX5">
        <v>55668896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Y5*Source!I28</f>
        <v>0.06272</v>
      </c>
      <c r="CY5">
        <f>AB5</f>
        <v>65.71</v>
      </c>
      <c r="CZ5">
        <f>AF5</f>
        <v>65.71</v>
      </c>
      <c r="DA5">
        <f>AJ5</f>
        <v>1</v>
      </c>
      <c r="DB5">
        <f>ROUND((ROUND(AT5*CZ5,2)*ROUND(0.7,7)),2)</f>
        <v>12.88</v>
      </c>
      <c r="DC5">
        <f>ROUND((ROUND(AT5*AG5,2)*ROUND(0.7,7)),2)</f>
        <v>2.28</v>
      </c>
    </row>
    <row r="6" spans="1:107" ht="12.75">
      <c r="A6">
        <f>ROW(Source!A28)</f>
        <v>28</v>
      </c>
      <c r="B6">
        <v>55668703</v>
      </c>
      <c r="C6">
        <v>55668882</v>
      </c>
      <c r="D6">
        <v>53646035</v>
      </c>
      <c r="E6">
        <v>1</v>
      </c>
      <c r="F6">
        <v>1</v>
      </c>
      <c r="G6">
        <v>1</v>
      </c>
      <c r="H6">
        <v>3</v>
      </c>
      <c r="I6" t="s">
        <v>292</v>
      </c>
      <c r="J6" t="s">
        <v>293</v>
      </c>
      <c r="K6" t="s">
        <v>294</v>
      </c>
      <c r="L6">
        <v>1348</v>
      </c>
      <c r="N6">
        <v>1009</v>
      </c>
      <c r="O6" t="s">
        <v>41</v>
      </c>
      <c r="P6" t="s">
        <v>41</v>
      </c>
      <c r="Q6">
        <v>1000</v>
      </c>
      <c r="W6">
        <v>0</v>
      </c>
      <c r="X6">
        <v>-1671348935</v>
      </c>
      <c r="Y6">
        <v>0</v>
      </c>
      <c r="AA6">
        <v>37900</v>
      </c>
      <c r="AB6">
        <v>0</v>
      </c>
      <c r="AC6">
        <v>0</v>
      </c>
      <c r="AD6">
        <v>0</v>
      </c>
      <c r="AE6">
        <v>37900</v>
      </c>
      <c r="AF6">
        <v>0</v>
      </c>
      <c r="AG6">
        <v>0</v>
      </c>
      <c r="AH6">
        <v>0</v>
      </c>
      <c r="AI6">
        <v>1</v>
      </c>
      <c r="AJ6">
        <v>1</v>
      </c>
      <c r="AK6">
        <v>1</v>
      </c>
      <c r="AL6">
        <v>1</v>
      </c>
      <c r="AN6">
        <v>0</v>
      </c>
      <c r="AO6">
        <v>1</v>
      </c>
      <c r="AP6">
        <v>1</v>
      </c>
      <c r="AQ6">
        <v>0</v>
      </c>
      <c r="AR6">
        <v>0</v>
      </c>
      <c r="AT6">
        <v>0.00115</v>
      </c>
      <c r="AU6" t="s">
        <v>29</v>
      </c>
      <c r="AV6">
        <v>0</v>
      </c>
      <c r="AW6">
        <v>2</v>
      </c>
      <c r="AX6">
        <v>55668898</v>
      </c>
      <c r="AY6">
        <v>1</v>
      </c>
      <c r="AZ6">
        <v>0</v>
      </c>
      <c r="BA6">
        <v>7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Y6*Source!I28</f>
        <v>0</v>
      </c>
      <c r="CY6">
        <f>AA6</f>
        <v>37900</v>
      </c>
      <c r="CZ6">
        <f>AE6</f>
        <v>37900</v>
      </c>
      <c r="DA6">
        <f>AI6</f>
        <v>1</v>
      </c>
      <c r="DB6">
        <f>ROUND((ROUND(AT6*CZ6,2)*ROUND(0,7)),2)</f>
        <v>0</v>
      </c>
      <c r="DC6">
        <f>ROUND((ROUND(AT6*AG6,2)*ROUND(0,7)),2)</f>
        <v>0</v>
      </c>
    </row>
    <row r="7" spans="1:107" ht="12.75">
      <c r="A7">
        <f>ROW(Source!A28)</f>
        <v>28</v>
      </c>
      <c r="B7">
        <v>55668703</v>
      </c>
      <c r="C7">
        <v>55668882</v>
      </c>
      <c r="D7">
        <v>53659617</v>
      </c>
      <c r="E7">
        <v>1</v>
      </c>
      <c r="F7">
        <v>1</v>
      </c>
      <c r="G7">
        <v>1</v>
      </c>
      <c r="H7">
        <v>3</v>
      </c>
      <c r="I7" t="s">
        <v>295</v>
      </c>
      <c r="J7" t="s">
        <v>296</v>
      </c>
      <c r="K7" t="s">
        <v>297</v>
      </c>
      <c r="L7">
        <v>1348</v>
      </c>
      <c r="N7">
        <v>1009</v>
      </c>
      <c r="O7" t="s">
        <v>41</v>
      </c>
      <c r="P7" t="s">
        <v>41</v>
      </c>
      <c r="Q7">
        <v>1000</v>
      </c>
      <c r="W7">
        <v>0</v>
      </c>
      <c r="X7">
        <v>-1915778085</v>
      </c>
      <c r="Y7">
        <v>0</v>
      </c>
      <c r="AA7">
        <v>7712</v>
      </c>
      <c r="AB7">
        <v>0</v>
      </c>
      <c r="AC7">
        <v>0</v>
      </c>
      <c r="AD7">
        <v>0</v>
      </c>
      <c r="AE7">
        <v>7712</v>
      </c>
      <c r="AF7">
        <v>0</v>
      </c>
      <c r="AG7">
        <v>0</v>
      </c>
      <c r="AH7">
        <v>0</v>
      </c>
      <c r="AI7">
        <v>1</v>
      </c>
      <c r="AJ7">
        <v>1</v>
      </c>
      <c r="AK7">
        <v>1</v>
      </c>
      <c r="AL7">
        <v>1</v>
      </c>
      <c r="AN7">
        <v>0</v>
      </c>
      <c r="AO7">
        <v>1</v>
      </c>
      <c r="AP7">
        <v>1</v>
      </c>
      <c r="AQ7">
        <v>0</v>
      </c>
      <c r="AR7">
        <v>0</v>
      </c>
      <c r="AT7">
        <v>0.02</v>
      </c>
      <c r="AU7" t="s">
        <v>29</v>
      </c>
      <c r="AV7">
        <v>0</v>
      </c>
      <c r="AW7">
        <v>2</v>
      </c>
      <c r="AX7">
        <v>55668901</v>
      </c>
      <c r="AY7">
        <v>1</v>
      </c>
      <c r="AZ7">
        <v>0</v>
      </c>
      <c r="BA7">
        <v>10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Y7*Source!I28</f>
        <v>0</v>
      </c>
      <c r="CY7">
        <f>AA7</f>
        <v>7712</v>
      </c>
      <c r="CZ7">
        <f>AE7</f>
        <v>7712</v>
      </c>
      <c r="DA7">
        <f>AI7</f>
        <v>1</v>
      </c>
      <c r="DB7">
        <f>ROUND((ROUND(AT7*CZ7,2)*ROUND(0,7)),2)</f>
        <v>0</v>
      </c>
      <c r="DC7">
        <f>ROUND((ROUND(AT7*AG7,2)*ROUND(0,7)),2)</f>
        <v>0</v>
      </c>
    </row>
    <row r="8" spans="1:107" ht="12.75">
      <c r="A8">
        <f>ROW(Source!A28)</f>
        <v>28</v>
      </c>
      <c r="B8">
        <v>55668703</v>
      </c>
      <c r="C8">
        <v>55668882</v>
      </c>
      <c r="D8">
        <v>53661716</v>
      </c>
      <c r="E8">
        <v>1</v>
      </c>
      <c r="F8">
        <v>1</v>
      </c>
      <c r="G8">
        <v>1</v>
      </c>
      <c r="H8">
        <v>3</v>
      </c>
      <c r="I8" t="s">
        <v>298</v>
      </c>
      <c r="J8" t="s">
        <v>299</v>
      </c>
      <c r="K8" t="s">
        <v>300</v>
      </c>
      <c r="L8">
        <v>1302</v>
      </c>
      <c r="N8">
        <v>1003</v>
      </c>
      <c r="O8" t="s">
        <v>301</v>
      </c>
      <c r="P8" t="s">
        <v>301</v>
      </c>
      <c r="Q8">
        <v>10</v>
      </c>
      <c r="W8">
        <v>0</v>
      </c>
      <c r="X8">
        <v>581091037</v>
      </c>
      <c r="Y8">
        <v>0</v>
      </c>
      <c r="AA8">
        <v>50.24</v>
      </c>
      <c r="AB8">
        <v>0</v>
      </c>
      <c r="AC8">
        <v>0</v>
      </c>
      <c r="AD8">
        <v>0</v>
      </c>
      <c r="AE8">
        <v>50.24</v>
      </c>
      <c r="AF8">
        <v>0</v>
      </c>
      <c r="AG8">
        <v>0</v>
      </c>
      <c r="AH8">
        <v>0</v>
      </c>
      <c r="AI8">
        <v>1</v>
      </c>
      <c r="AJ8">
        <v>1</v>
      </c>
      <c r="AK8">
        <v>1</v>
      </c>
      <c r="AL8">
        <v>1</v>
      </c>
      <c r="AN8">
        <v>0</v>
      </c>
      <c r="AO8">
        <v>1</v>
      </c>
      <c r="AP8">
        <v>1</v>
      </c>
      <c r="AQ8">
        <v>0</v>
      </c>
      <c r="AR8">
        <v>0</v>
      </c>
      <c r="AT8">
        <v>0.2</v>
      </c>
      <c r="AU8" t="s">
        <v>29</v>
      </c>
      <c r="AV8">
        <v>0</v>
      </c>
      <c r="AW8">
        <v>2</v>
      </c>
      <c r="AX8">
        <v>55668902</v>
      </c>
      <c r="AY8">
        <v>1</v>
      </c>
      <c r="AZ8">
        <v>0</v>
      </c>
      <c r="BA8">
        <v>11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Y8*Source!I28</f>
        <v>0</v>
      </c>
      <c r="CY8">
        <f>AA8</f>
        <v>50.24</v>
      </c>
      <c r="CZ8">
        <f>AE8</f>
        <v>50.24</v>
      </c>
      <c r="DA8">
        <f>AI8</f>
        <v>1</v>
      </c>
      <c r="DB8">
        <f>ROUND((ROUND(AT8*CZ8,2)*ROUND(0,7)),2)</f>
        <v>0</v>
      </c>
      <c r="DC8">
        <f>ROUND((ROUND(AT8*AG8,2)*ROUND(0,7)),2)</f>
        <v>0</v>
      </c>
    </row>
    <row r="9" spans="1:107" ht="12.75">
      <c r="A9">
        <f>ROW(Source!A28)</f>
        <v>28</v>
      </c>
      <c r="B9">
        <v>55668703</v>
      </c>
      <c r="C9">
        <v>55668882</v>
      </c>
      <c r="D9">
        <v>53666055</v>
      </c>
      <c r="E9">
        <v>1</v>
      </c>
      <c r="F9">
        <v>1</v>
      </c>
      <c r="G9">
        <v>1</v>
      </c>
      <c r="H9">
        <v>3</v>
      </c>
      <c r="I9" t="s">
        <v>302</v>
      </c>
      <c r="J9" t="s">
        <v>303</v>
      </c>
      <c r="K9" t="s">
        <v>304</v>
      </c>
      <c r="L9">
        <v>1339</v>
      </c>
      <c r="N9">
        <v>1007</v>
      </c>
      <c r="O9" t="s">
        <v>305</v>
      </c>
      <c r="P9" t="s">
        <v>305</v>
      </c>
      <c r="Q9">
        <v>1</v>
      </c>
      <c r="W9">
        <v>0</v>
      </c>
      <c r="X9">
        <v>1758287014</v>
      </c>
      <c r="Y9">
        <v>0</v>
      </c>
      <c r="AA9">
        <v>1700</v>
      </c>
      <c r="AB9">
        <v>0</v>
      </c>
      <c r="AC9">
        <v>0</v>
      </c>
      <c r="AD9">
        <v>0</v>
      </c>
      <c r="AE9">
        <v>1700</v>
      </c>
      <c r="AF9">
        <v>0</v>
      </c>
      <c r="AG9">
        <v>0</v>
      </c>
      <c r="AH9">
        <v>0</v>
      </c>
      <c r="AI9">
        <v>1</v>
      </c>
      <c r="AJ9">
        <v>1</v>
      </c>
      <c r="AK9">
        <v>1</v>
      </c>
      <c r="AL9">
        <v>1</v>
      </c>
      <c r="AN9">
        <v>0</v>
      </c>
      <c r="AO9">
        <v>1</v>
      </c>
      <c r="AP9">
        <v>1</v>
      </c>
      <c r="AQ9">
        <v>0</v>
      </c>
      <c r="AR9">
        <v>0</v>
      </c>
      <c r="AT9">
        <v>0.04</v>
      </c>
      <c r="AU9" t="s">
        <v>29</v>
      </c>
      <c r="AV9">
        <v>0</v>
      </c>
      <c r="AW9">
        <v>2</v>
      </c>
      <c r="AX9">
        <v>55668904</v>
      </c>
      <c r="AY9">
        <v>1</v>
      </c>
      <c r="AZ9">
        <v>0</v>
      </c>
      <c r="BA9">
        <v>13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Y9*Source!I28</f>
        <v>0</v>
      </c>
      <c r="CY9">
        <f>AA9</f>
        <v>1700</v>
      </c>
      <c r="CZ9">
        <f>AE9</f>
        <v>1700</v>
      </c>
      <c r="DA9">
        <f>AI9</f>
        <v>1</v>
      </c>
      <c r="DB9">
        <f>ROUND((ROUND(AT9*CZ9,2)*ROUND(0,7)),2)</f>
        <v>0</v>
      </c>
      <c r="DC9">
        <f>ROUND((ROUND(AT9*AG9,2)*ROUND(0,7)),2)</f>
        <v>0</v>
      </c>
    </row>
    <row r="10" spans="1:107" ht="12.75">
      <c r="A10">
        <f>ROW(Source!A29)</f>
        <v>29</v>
      </c>
      <c r="B10">
        <v>55668704</v>
      </c>
      <c r="C10">
        <v>55668882</v>
      </c>
      <c r="D10">
        <v>53630123</v>
      </c>
      <c r="E10">
        <v>70</v>
      </c>
      <c r="F10">
        <v>1</v>
      </c>
      <c r="G10">
        <v>1</v>
      </c>
      <c r="H10">
        <v>1</v>
      </c>
      <c r="I10" t="s">
        <v>277</v>
      </c>
      <c r="K10" t="s">
        <v>278</v>
      </c>
      <c r="L10">
        <v>1191</v>
      </c>
      <c r="N10">
        <v>1013</v>
      </c>
      <c r="O10" t="s">
        <v>279</v>
      </c>
      <c r="P10" t="s">
        <v>279</v>
      </c>
      <c r="Q10">
        <v>1</v>
      </c>
      <c r="W10">
        <v>0</v>
      </c>
      <c r="X10">
        <v>-1841613679</v>
      </c>
      <c r="Y10">
        <v>208.6</v>
      </c>
      <c r="AA10">
        <v>0</v>
      </c>
      <c r="AB10">
        <v>0</v>
      </c>
      <c r="AC10">
        <v>0</v>
      </c>
      <c r="AD10">
        <v>375.64</v>
      </c>
      <c r="AE10">
        <v>0</v>
      </c>
      <c r="AF10">
        <v>0</v>
      </c>
      <c r="AG10">
        <v>0</v>
      </c>
      <c r="AH10">
        <v>10.06</v>
      </c>
      <c r="AI10">
        <v>1</v>
      </c>
      <c r="AJ10">
        <v>1</v>
      </c>
      <c r="AK10">
        <v>1</v>
      </c>
      <c r="AL10">
        <v>37.34</v>
      </c>
      <c r="AN10">
        <v>0</v>
      </c>
      <c r="AO10">
        <v>1</v>
      </c>
      <c r="AP10">
        <v>1</v>
      </c>
      <c r="AQ10">
        <v>0</v>
      </c>
      <c r="AR10">
        <v>0</v>
      </c>
      <c r="AT10">
        <v>298</v>
      </c>
      <c r="AU10" t="s">
        <v>30</v>
      </c>
      <c r="AV10">
        <v>1</v>
      </c>
      <c r="AW10">
        <v>2</v>
      </c>
      <c r="AX10">
        <v>55668892</v>
      </c>
      <c r="AY10">
        <v>1</v>
      </c>
      <c r="AZ10">
        <v>0</v>
      </c>
      <c r="BA10">
        <v>14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Y10*Source!I29</f>
        <v>66.752</v>
      </c>
      <c r="CY10">
        <f>AD10</f>
        <v>375.64</v>
      </c>
      <c r="CZ10">
        <f>AH10</f>
        <v>10.06</v>
      </c>
      <c r="DA10">
        <f>AL10</f>
        <v>37.34</v>
      </c>
      <c r="DB10">
        <f>ROUND((ROUND(AT10*CZ10,2)*ROUND(0.7,7)),2)</f>
        <v>2098.52</v>
      </c>
      <c r="DC10">
        <f>ROUND((ROUND(AT10*AG10,2)*ROUND(0.7,7)),2)</f>
        <v>0</v>
      </c>
    </row>
    <row r="11" spans="1:107" ht="12.75">
      <c r="A11">
        <f>ROW(Source!A29)</f>
        <v>29</v>
      </c>
      <c r="B11">
        <v>55668704</v>
      </c>
      <c r="C11">
        <v>55668882</v>
      </c>
      <c r="D11">
        <v>53630257</v>
      </c>
      <c r="E11">
        <v>70</v>
      </c>
      <c r="F11">
        <v>1</v>
      </c>
      <c r="G11">
        <v>1</v>
      </c>
      <c r="H11">
        <v>1</v>
      </c>
      <c r="I11" t="s">
        <v>280</v>
      </c>
      <c r="K11" t="s">
        <v>281</v>
      </c>
      <c r="L11">
        <v>1191</v>
      </c>
      <c r="N11">
        <v>1013</v>
      </c>
      <c r="O11" t="s">
        <v>279</v>
      </c>
      <c r="P11" t="s">
        <v>279</v>
      </c>
      <c r="Q11">
        <v>1</v>
      </c>
      <c r="W11">
        <v>0</v>
      </c>
      <c r="X11">
        <v>-1417349443</v>
      </c>
      <c r="Y11">
        <v>1.736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1</v>
      </c>
      <c r="AJ11">
        <v>1</v>
      </c>
      <c r="AK11">
        <v>37.34</v>
      </c>
      <c r="AL11">
        <v>1</v>
      </c>
      <c r="AN11">
        <v>0</v>
      </c>
      <c r="AO11">
        <v>1</v>
      </c>
      <c r="AP11">
        <v>1</v>
      </c>
      <c r="AQ11">
        <v>0</v>
      </c>
      <c r="AR11">
        <v>0</v>
      </c>
      <c r="AT11">
        <v>2.48</v>
      </c>
      <c r="AU11" t="s">
        <v>30</v>
      </c>
      <c r="AV11">
        <v>2</v>
      </c>
      <c r="AW11">
        <v>2</v>
      </c>
      <c r="AX11">
        <v>55668893</v>
      </c>
      <c r="AY11">
        <v>1</v>
      </c>
      <c r="AZ11">
        <v>0</v>
      </c>
      <c r="BA11">
        <v>15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Y11*Source!I29</f>
        <v>0.55552</v>
      </c>
      <c r="CY11">
        <f>AD11</f>
        <v>0</v>
      </c>
      <c r="CZ11">
        <f>AH11</f>
        <v>0</v>
      </c>
      <c r="DA11">
        <f>AL11</f>
        <v>1</v>
      </c>
      <c r="DB11">
        <f>ROUND((ROUND(AT11*CZ11,2)*ROUND(0.7,7)),2)</f>
        <v>0</v>
      </c>
      <c r="DC11">
        <f>ROUND((ROUND(AT11*AG11,2)*ROUND(0.7,7)),2)</f>
        <v>0</v>
      </c>
    </row>
    <row r="12" spans="1:107" ht="12.75">
      <c r="A12">
        <f>ROW(Source!A29)</f>
        <v>29</v>
      </c>
      <c r="B12">
        <v>55668704</v>
      </c>
      <c r="C12">
        <v>55668882</v>
      </c>
      <c r="D12">
        <v>53791997</v>
      </c>
      <c r="E12">
        <v>1</v>
      </c>
      <c r="F12">
        <v>1</v>
      </c>
      <c r="G12">
        <v>1</v>
      </c>
      <c r="H12">
        <v>2</v>
      </c>
      <c r="I12" t="s">
        <v>282</v>
      </c>
      <c r="J12" t="s">
        <v>283</v>
      </c>
      <c r="K12" t="s">
        <v>284</v>
      </c>
      <c r="L12">
        <v>1367</v>
      </c>
      <c r="N12">
        <v>1011</v>
      </c>
      <c r="O12" t="s">
        <v>285</v>
      </c>
      <c r="P12" t="s">
        <v>285</v>
      </c>
      <c r="Q12">
        <v>1</v>
      </c>
      <c r="W12">
        <v>0</v>
      </c>
      <c r="X12">
        <v>-430484415</v>
      </c>
      <c r="Y12">
        <v>1.54</v>
      </c>
      <c r="AA12">
        <v>0</v>
      </c>
      <c r="AB12">
        <v>1527.9</v>
      </c>
      <c r="AC12">
        <v>504.09</v>
      </c>
      <c r="AD12">
        <v>0</v>
      </c>
      <c r="AE12">
        <v>0</v>
      </c>
      <c r="AF12">
        <v>115.4</v>
      </c>
      <c r="AG12">
        <v>13.5</v>
      </c>
      <c r="AH12">
        <v>0</v>
      </c>
      <c r="AI12">
        <v>1</v>
      </c>
      <c r="AJ12">
        <v>13.24</v>
      </c>
      <c r="AK12">
        <v>37.34</v>
      </c>
      <c r="AL12">
        <v>1</v>
      </c>
      <c r="AN12">
        <v>0</v>
      </c>
      <c r="AO12">
        <v>1</v>
      </c>
      <c r="AP12">
        <v>1</v>
      </c>
      <c r="AQ12">
        <v>0</v>
      </c>
      <c r="AR12">
        <v>0</v>
      </c>
      <c r="AT12">
        <v>2.2</v>
      </c>
      <c r="AU12" t="s">
        <v>30</v>
      </c>
      <c r="AV12">
        <v>0</v>
      </c>
      <c r="AW12">
        <v>2</v>
      </c>
      <c r="AX12">
        <v>55668894</v>
      </c>
      <c r="AY12">
        <v>1</v>
      </c>
      <c r="AZ12">
        <v>0</v>
      </c>
      <c r="BA12">
        <v>16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Y12*Source!I29</f>
        <v>0.4928</v>
      </c>
      <c r="CY12">
        <f>AB12</f>
        <v>1527.9</v>
      </c>
      <c r="CZ12">
        <f>AF12</f>
        <v>115.4</v>
      </c>
      <c r="DA12">
        <f>AJ12</f>
        <v>13.24</v>
      </c>
      <c r="DB12">
        <f>ROUND((ROUND(AT12*CZ12,2)*ROUND(0.7,7)),2)</f>
        <v>177.72</v>
      </c>
      <c r="DC12">
        <f>ROUND((ROUND(AT12*AG12,2)*ROUND(0.7,7)),2)</f>
        <v>20.79</v>
      </c>
    </row>
    <row r="13" spans="1:107" ht="12.75">
      <c r="A13">
        <f>ROW(Source!A29)</f>
        <v>29</v>
      </c>
      <c r="B13">
        <v>55668704</v>
      </c>
      <c r="C13">
        <v>55668882</v>
      </c>
      <c r="D13">
        <v>53792134</v>
      </c>
      <c r="E13">
        <v>1</v>
      </c>
      <c r="F13">
        <v>1</v>
      </c>
      <c r="G13">
        <v>1</v>
      </c>
      <c r="H13">
        <v>2</v>
      </c>
      <c r="I13" t="s">
        <v>286</v>
      </c>
      <c r="J13" t="s">
        <v>287</v>
      </c>
      <c r="K13" t="s">
        <v>288</v>
      </c>
      <c r="L13">
        <v>1367</v>
      </c>
      <c r="N13">
        <v>1011</v>
      </c>
      <c r="O13" t="s">
        <v>285</v>
      </c>
      <c r="P13" t="s">
        <v>285</v>
      </c>
      <c r="Q13">
        <v>1</v>
      </c>
      <c r="W13">
        <v>0</v>
      </c>
      <c r="X13">
        <v>-382331097</v>
      </c>
      <c r="Y13">
        <v>30.729999999999997</v>
      </c>
      <c r="AA13">
        <v>0</v>
      </c>
      <c r="AB13">
        <v>91.36</v>
      </c>
      <c r="AC13">
        <v>0</v>
      </c>
      <c r="AD13">
        <v>0</v>
      </c>
      <c r="AE13">
        <v>0</v>
      </c>
      <c r="AF13">
        <v>6.9</v>
      </c>
      <c r="AG13">
        <v>0</v>
      </c>
      <c r="AH13">
        <v>0</v>
      </c>
      <c r="AI13">
        <v>1</v>
      </c>
      <c r="AJ13">
        <v>13.24</v>
      </c>
      <c r="AK13">
        <v>37.34</v>
      </c>
      <c r="AL13">
        <v>1</v>
      </c>
      <c r="AN13">
        <v>0</v>
      </c>
      <c r="AO13">
        <v>1</v>
      </c>
      <c r="AP13">
        <v>1</v>
      </c>
      <c r="AQ13">
        <v>0</v>
      </c>
      <c r="AR13">
        <v>0</v>
      </c>
      <c r="AT13">
        <v>43.9</v>
      </c>
      <c r="AU13" t="s">
        <v>30</v>
      </c>
      <c r="AV13">
        <v>0</v>
      </c>
      <c r="AW13">
        <v>2</v>
      </c>
      <c r="AX13">
        <v>55668895</v>
      </c>
      <c r="AY13">
        <v>1</v>
      </c>
      <c r="AZ13">
        <v>0</v>
      </c>
      <c r="BA13">
        <v>17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Y13*Source!I29</f>
        <v>9.833599999999999</v>
      </c>
      <c r="CY13">
        <f>AB13</f>
        <v>91.36</v>
      </c>
      <c r="CZ13">
        <f>AF13</f>
        <v>6.9</v>
      </c>
      <c r="DA13">
        <f>AJ13</f>
        <v>13.24</v>
      </c>
      <c r="DB13">
        <f>ROUND((ROUND(AT13*CZ13,2)*ROUND(0.7,7)),2)</f>
        <v>212.04</v>
      </c>
      <c r="DC13">
        <f>ROUND((ROUND(AT13*AG13,2)*ROUND(0.7,7)),2)</f>
        <v>0</v>
      </c>
    </row>
    <row r="14" spans="1:107" ht="12.75">
      <c r="A14">
        <f>ROW(Source!A29)</f>
        <v>29</v>
      </c>
      <c r="B14">
        <v>55668704</v>
      </c>
      <c r="C14">
        <v>55668882</v>
      </c>
      <c r="D14">
        <v>53792927</v>
      </c>
      <c r="E14">
        <v>1</v>
      </c>
      <c r="F14">
        <v>1</v>
      </c>
      <c r="G14">
        <v>1</v>
      </c>
      <c r="H14">
        <v>2</v>
      </c>
      <c r="I14" t="s">
        <v>289</v>
      </c>
      <c r="J14" t="s">
        <v>290</v>
      </c>
      <c r="K14" t="s">
        <v>291</v>
      </c>
      <c r="L14">
        <v>1367</v>
      </c>
      <c r="N14">
        <v>1011</v>
      </c>
      <c r="O14" t="s">
        <v>285</v>
      </c>
      <c r="P14" t="s">
        <v>285</v>
      </c>
      <c r="Q14">
        <v>1</v>
      </c>
      <c r="W14">
        <v>0</v>
      </c>
      <c r="X14">
        <v>509054691</v>
      </c>
      <c r="Y14">
        <v>0.196</v>
      </c>
      <c r="AA14">
        <v>0</v>
      </c>
      <c r="AB14">
        <v>870</v>
      </c>
      <c r="AC14">
        <v>433.14</v>
      </c>
      <c r="AD14">
        <v>0</v>
      </c>
      <c r="AE14">
        <v>0</v>
      </c>
      <c r="AF14">
        <v>65.71</v>
      </c>
      <c r="AG14">
        <v>11.6</v>
      </c>
      <c r="AH14">
        <v>0</v>
      </c>
      <c r="AI14">
        <v>1</v>
      </c>
      <c r="AJ14">
        <v>13.24</v>
      </c>
      <c r="AK14">
        <v>37.34</v>
      </c>
      <c r="AL14">
        <v>1</v>
      </c>
      <c r="AN14">
        <v>0</v>
      </c>
      <c r="AO14">
        <v>1</v>
      </c>
      <c r="AP14">
        <v>1</v>
      </c>
      <c r="AQ14">
        <v>0</v>
      </c>
      <c r="AR14">
        <v>0</v>
      </c>
      <c r="AT14">
        <v>0.28</v>
      </c>
      <c r="AU14" t="s">
        <v>30</v>
      </c>
      <c r="AV14">
        <v>0</v>
      </c>
      <c r="AW14">
        <v>2</v>
      </c>
      <c r="AX14">
        <v>55668896</v>
      </c>
      <c r="AY14">
        <v>1</v>
      </c>
      <c r="AZ14">
        <v>0</v>
      </c>
      <c r="BA14">
        <v>18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Y14*Source!I29</f>
        <v>0.06272</v>
      </c>
      <c r="CY14">
        <f>AB14</f>
        <v>870</v>
      </c>
      <c r="CZ14">
        <f>AF14</f>
        <v>65.71</v>
      </c>
      <c r="DA14">
        <f>AJ14</f>
        <v>13.24</v>
      </c>
      <c r="DB14">
        <f>ROUND((ROUND(AT14*CZ14,2)*ROUND(0.7,7)),2)</f>
        <v>12.88</v>
      </c>
      <c r="DC14">
        <f>ROUND((ROUND(AT14*AG14,2)*ROUND(0.7,7)),2)</f>
        <v>2.28</v>
      </c>
    </row>
    <row r="15" spans="1:107" ht="12.75">
      <c r="A15">
        <f>ROW(Source!A29)</f>
        <v>29</v>
      </c>
      <c r="B15">
        <v>55668704</v>
      </c>
      <c r="C15">
        <v>55668882</v>
      </c>
      <c r="D15">
        <v>53646035</v>
      </c>
      <c r="E15">
        <v>1</v>
      </c>
      <c r="F15">
        <v>1</v>
      </c>
      <c r="G15">
        <v>1</v>
      </c>
      <c r="H15">
        <v>3</v>
      </c>
      <c r="I15" t="s">
        <v>292</v>
      </c>
      <c r="J15" t="s">
        <v>293</v>
      </c>
      <c r="K15" t="s">
        <v>294</v>
      </c>
      <c r="L15">
        <v>1348</v>
      </c>
      <c r="N15">
        <v>1009</v>
      </c>
      <c r="O15" t="s">
        <v>41</v>
      </c>
      <c r="P15" t="s">
        <v>41</v>
      </c>
      <c r="Q15">
        <v>1000</v>
      </c>
      <c r="W15">
        <v>0</v>
      </c>
      <c r="X15">
        <v>-1671348935</v>
      </c>
      <c r="Y15">
        <v>0</v>
      </c>
      <c r="AA15">
        <v>254688</v>
      </c>
      <c r="AB15">
        <v>0</v>
      </c>
      <c r="AC15">
        <v>0</v>
      </c>
      <c r="AD15">
        <v>0</v>
      </c>
      <c r="AE15">
        <v>37900</v>
      </c>
      <c r="AF15">
        <v>0</v>
      </c>
      <c r="AG15">
        <v>0</v>
      </c>
      <c r="AH15">
        <v>0</v>
      </c>
      <c r="AI15">
        <v>6.72</v>
      </c>
      <c r="AJ15">
        <v>1</v>
      </c>
      <c r="AK15">
        <v>1</v>
      </c>
      <c r="AL15">
        <v>1</v>
      </c>
      <c r="AN15">
        <v>0</v>
      </c>
      <c r="AO15">
        <v>1</v>
      </c>
      <c r="AP15">
        <v>1</v>
      </c>
      <c r="AQ15">
        <v>0</v>
      </c>
      <c r="AR15">
        <v>0</v>
      </c>
      <c r="AT15">
        <v>0.00115</v>
      </c>
      <c r="AU15" t="s">
        <v>29</v>
      </c>
      <c r="AV15">
        <v>0</v>
      </c>
      <c r="AW15">
        <v>2</v>
      </c>
      <c r="AX15">
        <v>55668898</v>
      </c>
      <c r="AY15">
        <v>1</v>
      </c>
      <c r="AZ15">
        <v>0</v>
      </c>
      <c r="BA15">
        <v>20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Y15*Source!I29</f>
        <v>0</v>
      </c>
      <c r="CY15">
        <f>AA15</f>
        <v>254688</v>
      </c>
      <c r="CZ15">
        <f>AE15</f>
        <v>37900</v>
      </c>
      <c r="DA15">
        <f>AI15</f>
        <v>6.72</v>
      </c>
      <c r="DB15">
        <f>ROUND((ROUND(AT15*CZ15,2)*ROUND(0,7)),2)</f>
        <v>0</v>
      </c>
      <c r="DC15">
        <f>ROUND((ROUND(AT15*AG15,2)*ROUND(0,7)),2)</f>
        <v>0</v>
      </c>
    </row>
    <row r="16" spans="1:107" ht="12.75">
      <c r="A16">
        <f>ROW(Source!A29)</f>
        <v>29</v>
      </c>
      <c r="B16">
        <v>55668704</v>
      </c>
      <c r="C16">
        <v>55668882</v>
      </c>
      <c r="D16">
        <v>53659617</v>
      </c>
      <c r="E16">
        <v>1</v>
      </c>
      <c r="F16">
        <v>1</v>
      </c>
      <c r="G16">
        <v>1</v>
      </c>
      <c r="H16">
        <v>3</v>
      </c>
      <c r="I16" t="s">
        <v>295</v>
      </c>
      <c r="J16" t="s">
        <v>296</v>
      </c>
      <c r="K16" t="s">
        <v>297</v>
      </c>
      <c r="L16">
        <v>1348</v>
      </c>
      <c r="N16">
        <v>1009</v>
      </c>
      <c r="O16" t="s">
        <v>41</v>
      </c>
      <c r="P16" t="s">
        <v>41</v>
      </c>
      <c r="Q16">
        <v>1000</v>
      </c>
      <c r="W16">
        <v>0</v>
      </c>
      <c r="X16">
        <v>-1915778085</v>
      </c>
      <c r="Y16">
        <v>0</v>
      </c>
      <c r="AA16">
        <v>51824.64</v>
      </c>
      <c r="AB16">
        <v>0</v>
      </c>
      <c r="AC16">
        <v>0</v>
      </c>
      <c r="AD16">
        <v>0</v>
      </c>
      <c r="AE16">
        <v>7712</v>
      </c>
      <c r="AF16">
        <v>0</v>
      </c>
      <c r="AG16">
        <v>0</v>
      </c>
      <c r="AH16">
        <v>0</v>
      </c>
      <c r="AI16">
        <v>6.72</v>
      </c>
      <c r="AJ16">
        <v>1</v>
      </c>
      <c r="AK16">
        <v>1</v>
      </c>
      <c r="AL16">
        <v>1</v>
      </c>
      <c r="AN16">
        <v>0</v>
      </c>
      <c r="AO16">
        <v>1</v>
      </c>
      <c r="AP16">
        <v>1</v>
      </c>
      <c r="AQ16">
        <v>0</v>
      </c>
      <c r="AR16">
        <v>0</v>
      </c>
      <c r="AT16">
        <v>0.02</v>
      </c>
      <c r="AU16" t="s">
        <v>29</v>
      </c>
      <c r="AV16">
        <v>0</v>
      </c>
      <c r="AW16">
        <v>2</v>
      </c>
      <c r="AX16">
        <v>55668901</v>
      </c>
      <c r="AY16">
        <v>1</v>
      </c>
      <c r="AZ16">
        <v>0</v>
      </c>
      <c r="BA16">
        <v>23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Y16*Source!I29</f>
        <v>0</v>
      </c>
      <c r="CY16">
        <f>AA16</f>
        <v>51824.64</v>
      </c>
      <c r="CZ16">
        <f>AE16</f>
        <v>7712</v>
      </c>
      <c r="DA16">
        <f>AI16</f>
        <v>6.72</v>
      </c>
      <c r="DB16">
        <f>ROUND((ROUND(AT16*CZ16,2)*ROUND(0,7)),2)</f>
        <v>0</v>
      </c>
      <c r="DC16">
        <f>ROUND((ROUND(AT16*AG16,2)*ROUND(0,7)),2)</f>
        <v>0</v>
      </c>
    </row>
    <row r="17" spans="1:107" ht="12.75">
      <c r="A17">
        <f>ROW(Source!A29)</f>
        <v>29</v>
      </c>
      <c r="B17">
        <v>55668704</v>
      </c>
      <c r="C17">
        <v>55668882</v>
      </c>
      <c r="D17">
        <v>53661716</v>
      </c>
      <c r="E17">
        <v>1</v>
      </c>
      <c r="F17">
        <v>1</v>
      </c>
      <c r="G17">
        <v>1</v>
      </c>
      <c r="H17">
        <v>3</v>
      </c>
      <c r="I17" t="s">
        <v>298</v>
      </c>
      <c r="J17" t="s">
        <v>299</v>
      </c>
      <c r="K17" t="s">
        <v>300</v>
      </c>
      <c r="L17">
        <v>1302</v>
      </c>
      <c r="N17">
        <v>1003</v>
      </c>
      <c r="O17" t="s">
        <v>301</v>
      </c>
      <c r="P17" t="s">
        <v>301</v>
      </c>
      <c r="Q17">
        <v>10</v>
      </c>
      <c r="W17">
        <v>0</v>
      </c>
      <c r="X17">
        <v>581091037</v>
      </c>
      <c r="Y17">
        <v>0</v>
      </c>
      <c r="AA17">
        <v>337.61</v>
      </c>
      <c r="AB17">
        <v>0</v>
      </c>
      <c r="AC17">
        <v>0</v>
      </c>
      <c r="AD17">
        <v>0</v>
      </c>
      <c r="AE17">
        <v>50.24</v>
      </c>
      <c r="AF17">
        <v>0</v>
      </c>
      <c r="AG17">
        <v>0</v>
      </c>
      <c r="AH17">
        <v>0</v>
      </c>
      <c r="AI17">
        <v>6.72</v>
      </c>
      <c r="AJ17">
        <v>1</v>
      </c>
      <c r="AK17">
        <v>1</v>
      </c>
      <c r="AL17">
        <v>1</v>
      </c>
      <c r="AN17">
        <v>0</v>
      </c>
      <c r="AO17">
        <v>1</v>
      </c>
      <c r="AP17">
        <v>1</v>
      </c>
      <c r="AQ17">
        <v>0</v>
      </c>
      <c r="AR17">
        <v>0</v>
      </c>
      <c r="AT17">
        <v>0.2</v>
      </c>
      <c r="AU17" t="s">
        <v>29</v>
      </c>
      <c r="AV17">
        <v>0</v>
      </c>
      <c r="AW17">
        <v>2</v>
      </c>
      <c r="AX17">
        <v>55668902</v>
      </c>
      <c r="AY17">
        <v>1</v>
      </c>
      <c r="AZ17">
        <v>0</v>
      </c>
      <c r="BA17">
        <v>24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Y17*Source!I29</f>
        <v>0</v>
      </c>
      <c r="CY17">
        <f>AA17</f>
        <v>337.61</v>
      </c>
      <c r="CZ17">
        <f>AE17</f>
        <v>50.24</v>
      </c>
      <c r="DA17">
        <f>AI17</f>
        <v>6.72</v>
      </c>
      <c r="DB17">
        <f>ROUND((ROUND(AT17*CZ17,2)*ROUND(0,7)),2)</f>
        <v>0</v>
      </c>
      <c r="DC17">
        <f>ROUND((ROUND(AT17*AG17,2)*ROUND(0,7)),2)</f>
        <v>0</v>
      </c>
    </row>
    <row r="18" spans="1:107" ht="12.75">
      <c r="A18">
        <f>ROW(Source!A29)</f>
        <v>29</v>
      </c>
      <c r="B18">
        <v>55668704</v>
      </c>
      <c r="C18">
        <v>55668882</v>
      </c>
      <c r="D18">
        <v>53666055</v>
      </c>
      <c r="E18">
        <v>1</v>
      </c>
      <c r="F18">
        <v>1</v>
      </c>
      <c r="G18">
        <v>1</v>
      </c>
      <c r="H18">
        <v>3</v>
      </c>
      <c r="I18" t="s">
        <v>302</v>
      </c>
      <c r="J18" t="s">
        <v>303</v>
      </c>
      <c r="K18" t="s">
        <v>304</v>
      </c>
      <c r="L18">
        <v>1339</v>
      </c>
      <c r="N18">
        <v>1007</v>
      </c>
      <c r="O18" t="s">
        <v>305</v>
      </c>
      <c r="P18" t="s">
        <v>305</v>
      </c>
      <c r="Q18">
        <v>1</v>
      </c>
      <c r="W18">
        <v>0</v>
      </c>
      <c r="X18">
        <v>1758287014</v>
      </c>
      <c r="Y18">
        <v>0</v>
      </c>
      <c r="AA18">
        <v>11424</v>
      </c>
      <c r="AB18">
        <v>0</v>
      </c>
      <c r="AC18">
        <v>0</v>
      </c>
      <c r="AD18">
        <v>0</v>
      </c>
      <c r="AE18">
        <v>1700</v>
      </c>
      <c r="AF18">
        <v>0</v>
      </c>
      <c r="AG18">
        <v>0</v>
      </c>
      <c r="AH18">
        <v>0</v>
      </c>
      <c r="AI18">
        <v>6.72</v>
      </c>
      <c r="AJ18">
        <v>1</v>
      </c>
      <c r="AK18">
        <v>1</v>
      </c>
      <c r="AL18">
        <v>1</v>
      </c>
      <c r="AN18">
        <v>0</v>
      </c>
      <c r="AO18">
        <v>1</v>
      </c>
      <c r="AP18">
        <v>1</v>
      </c>
      <c r="AQ18">
        <v>0</v>
      </c>
      <c r="AR18">
        <v>0</v>
      </c>
      <c r="AT18">
        <v>0.04</v>
      </c>
      <c r="AU18" t="s">
        <v>29</v>
      </c>
      <c r="AV18">
        <v>0</v>
      </c>
      <c r="AW18">
        <v>2</v>
      </c>
      <c r="AX18">
        <v>55668904</v>
      </c>
      <c r="AY18">
        <v>1</v>
      </c>
      <c r="AZ18">
        <v>0</v>
      </c>
      <c r="BA18">
        <v>26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Y18*Source!I29</f>
        <v>0</v>
      </c>
      <c r="CY18">
        <f>AA18</f>
        <v>11424</v>
      </c>
      <c r="CZ18">
        <f>AE18</f>
        <v>1700</v>
      </c>
      <c r="DA18">
        <f>AI18</f>
        <v>6.72</v>
      </c>
      <c r="DB18">
        <f>ROUND((ROUND(AT18*CZ18,2)*ROUND(0,7)),2)</f>
        <v>0</v>
      </c>
      <c r="DC18">
        <f>ROUND((ROUND(AT18*AG18,2)*ROUND(0,7)),2)</f>
        <v>0</v>
      </c>
    </row>
    <row r="19" spans="1:107" ht="12.75">
      <c r="A19">
        <f>ROW(Source!A30)</f>
        <v>30</v>
      </c>
      <c r="B19">
        <v>55668703</v>
      </c>
      <c r="C19">
        <v>55668962</v>
      </c>
      <c r="D19">
        <v>53630073</v>
      </c>
      <c r="E19">
        <v>70</v>
      </c>
      <c r="F19">
        <v>1</v>
      </c>
      <c r="G19">
        <v>1</v>
      </c>
      <c r="H19">
        <v>1</v>
      </c>
      <c r="I19" t="s">
        <v>306</v>
      </c>
      <c r="K19" t="s">
        <v>307</v>
      </c>
      <c r="L19">
        <v>1191</v>
      </c>
      <c r="N19">
        <v>1013</v>
      </c>
      <c r="O19" t="s">
        <v>279</v>
      </c>
      <c r="P19" t="s">
        <v>279</v>
      </c>
      <c r="Q19">
        <v>1</v>
      </c>
      <c r="W19">
        <v>0</v>
      </c>
      <c r="X19">
        <v>-1759674247</v>
      </c>
      <c r="Y19">
        <v>202.29999999999998</v>
      </c>
      <c r="AA19">
        <v>0</v>
      </c>
      <c r="AB19">
        <v>0</v>
      </c>
      <c r="AC19">
        <v>0</v>
      </c>
      <c r="AD19">
        <v>8.86</v>
      </c>
      <c r="AE19">
        <v>0</v>
      </c>
      <c r="AF19">
        <v>0</v>
      </c>
      <c r="AG19">
        <v>0</v>
      </c>
      <c r="AH19">
        <v>8.86</v>
      </c>
      <c r="AI19">
        <v>1</v>
      </c>
      <c r="AJ19">
        <v>1</v>
      </c>
      <c r="AK19">
        <v>1</v>
      </c>
      <c r="AL19">
        <v>1</v>
      </c>
      <c r="AN19">
        <v>0</v>
      </c>
      <c r="AO19">
        <v>1</v>
      </c>
      <c r="AP19">
        <v>1</v>
      </c>
      <c r="AQ19">
        <v>0</v>
      </c>
      <c r="AR19">
        <v>0</v>
      </c>
      <c r="AT19">
        <v>289</v>
      </c>
      <c r="AU19" t="s">
        <v>30</v>
      </c>
      <c r="AV19">
        <v>1</v>
      </c>
      <c r="AW19">
        <v>2</v>
      </c>
      <c r="AX19">
        <v>55668969</v>
      </c>
      <c r="AY19">
        <v>1</v>
      </c>
      <c r="AZ19">
        <v>0</v>
      </c>
      <c r="BA19">
        <v>27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Y19*Source!I30</f>
        <v>2.0229999999999997</v>
      </c>
      <c r="CY19">
        <f>AD19</f>
        <v>8.86</v>
      </c>
      <c r="CZ19">
        <f>AH19</f>
        <v>8.86</v>
      </c>
      <c r="DA19">
        <f>AL19</f>
        <v>1</v>
      </c>
      <c r="DB19">
        <f>ROUND((ROUND(AT19*CZ19,2)*ROUND(0.7,7)),2)</f>
        <v>1792.38</v>
      </c>
      <c r="DC19">
        <f>ROUND((ROUND(AT19*AG19,2)*ROUND(0.7,7)),2)</f>
        <v>0</v>
      </c>
    </row>
    <row r="20" spans="1:107" ht="12.75">
      <c r="A20">
        <f>ROW(Source!A30)</f>
        <v>30</v>
      </c>
      <c r="B20">
        <v>55668703</v>
      </c>
      <c r="C20">
        <v>55668962</v>
      </c>
      <c r="D20">
        <v>53630257</v>
      </c>
      <c r="E20">
        <v>70</v>
      </c>
      <c r="F20">
        <v>1</v>
      </c>
      <c r="G20">
        <v>1</v>
      </c>
      <c r="H20">
        <v>1</v>
      </c>
      <c r="I20" t="s">
        <v>280</v>
      </c>
      <c r="K20" t="s">
        <v>281</v>
      </c>
      <c r="L20">
        <v>1191</v>
      </c>
      <c r="N20">
        <v>1013</v>
      </c>
      <c r="O20" t="s">
        <v>279</v>
      </c>
      <c r="P20" t="s">
        <v>279</v>
      </c>
      <c r="Q20">
        <v>1</v>
      </c>
      <c r="W20">
        <v>0</v>
      </c>
      <c r="X20">
        <v>-1417349443</v>
      </c>
      <c r="Y20">
        <v>0.413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1</v>
      </c>
      <c r="AJ20">
        <v>1</v>
      </c>
      <c r="AK20">
        <v>1</v>
      </c>
      <c r="AL20">
        <v>1</v>
      </c>
      <c r="AN20">
        <v>0</v>
      </c>
      <c r="AO20">
        <v>1</v>
      </c>
      <c r="AP20">
        <v>1</v>
      </c>
      <c r="AQ20">
        <v>0</v>
      </c>
      <c r="AR20">
        <v>0</v>
      </c>
      <c r="AT20">
        <v>0.59</v>
      </c>
      <c r="AU20" t="s">
        <v>30</v>
      </c>
      <c r="AV20">
        <v>2</v>
      </c>
      <c r="AW20">
        <v>2</v>
      </c>
      <c r="AX20">
        <v>55668970</v>
      </c>
      <c r="AY20">
        <v>1</v>
      </c>
      <c r="AZ20">
        <v>0</v>
      </c>
      <c r="BA20">
        <v>28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Y20*Source!I30</f>
        <v>0.00413</v>
      </c>
      <c r="CY20">
        <f>AD20</f>
        <v>0</v>
      </c>
      <c r="CZ20">
        <f>AH20</f>
        <v>0</v>
      </c>
      <c r="DA20">
        <f>AL20</f>
        <v>1</v>
      </c>
      <c r="DB20">
        <f>ROUND((ROUND(AT20*CZ20,2)*ROUND(0.7,7)),2)</f>
        <v>0</v>
      </c>
      <c r="DC20">
        <f>ROUND((ROUND(AT20*AG20,2)*ROUND(0.7,7)),2)</f>
        <v>0</v>
      </c>
    </row>
    <row r="21" spans="1:107" ht="12.75">
      <c r="A21">
        <f>ROW(Source!A30)</f>
        <v>30</v>
      </c>
      <c r="B21">
        <v>55668703</v>
      </c>
      <c r="C21">
        <v>55668962</v>
      </c>
      <c r="D21">
        <v>53791997</v>
      </c>
      <c r="E21">
        <v>1</v>
      </c>
      <c r="F21">
        <v>1</v>
      </c>
      <c r="G21">
        <v>1</v>
      </c>
      <c r="H21">
        <v>2</v>
      </c>
      <c r="I21" t="s">
        <v>282</v>
      </c>
      <c r="J21" t="s">
        <v>283</v>
      </c>
      <c r="K21" t="s">
        <v>284</v>
      </c>
      <c r="L21">
        <v>1367</v>
      </c>
      <c r="N21">
        <v>1011</v>
      </c>
      <c r="O21" t="s">
        <v>285</v>
      </c>
      <c r="P21" t="s">
        <v>285</v>
      </c>
      <c r="Q21">
        <v>1</v>
      </c>
      <c r="W21">
        <v>0</v>
      </c>
      <c r="X21">
        <v>-430484415</v>
      </c>
      <c r="Y21">
        <v>0.175</v>
      </c>
      <c r="AA21">
        <v>0</v>
      </c>
      <c r="AB21">
        <v>115.4</v>
      </c>
      <c r="AC21">
        <v>13.5</v>
      </c>
      <c r="AD21">
        <v>0</v>
      </c>
      <c r="AE21">
        <v>0</v>
      </c>
      <c r="AF21">
        <v>115.4</v>
      </c>
      <c r="AG21">
        <v>13.5</v>
      </c>
      <c r="AH21">
        <v>0</v>
      </c>
      <c r="AI21">
        <v>1</v>
      </c>
      <c r="AJ21">
        <v>1</v>
      </c>
      <c r="AK21">
        <v>1</v>
      </c>
      <c r="AL21">
        <v>1</v>
      </c>
      <c r="AN21">
        <v>0</v>
      </c>
      <c r="AO21">
        <v>1</v>
      </c>
      <c r="AP21">
        <v>1</v>
      </c>
      <c r="AQ21">
        <v>0</v>
      </c>
      <c r="AR21">
        <v>0</v>
      </c>
      <c r="AT21">
        <v>0.25</v>
      </c>
      <c r="AU21" t="s">
        <v>30</v>
      </c>
      <c r="AV21">
        <v>0</v>
      </c>
      <c r="AW21">
        <v>2</v>
      </c>
      <c r="AX21">
        <v>55668971</v>
      </c>
      <c r="AY21">
        <v>1</v>
      </c>
      <c r="AZ21">
        <v>0</v>
      </c>
      <c r="BA21">
        <v>29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Y21*Source!I30</f>
        <v>0.0017499999999999998</v>
      </c>
      <c r="CY21">
        <f>AB21</f>
        <v>115.4</v>
      </c>
      <c r="CZ21">
        <f>AF21</f>
        <v>115.4</v>
      </c>
      <c r="DA21">
        <f>AJ21</f>
        <v>1</v>
      </c>
      <c r="DB21">
        <f>ROUND((ROUND(AT21*CZ21,2)*ROUND(0.7,7)),2)</f>
        <v>20.2</v>
      </c>
      <c r="DC21">
        <f>ROUND((ROUND(AT21*AG21,2)*ROUND(0.7,7)),2)</f>
        <v>2.37</v>
      </c>
    </row>
    <row r="22" spans="1:107" ht="12.75">
      <c r="A22">
        <f>ROW(Source!A30)</f>
        <v>30</v>
      </c>
      <c r="B22">
        <v>55668703</v>
      </c>
      <c r="C22">
        <v>55668962</v>
      </c>
      <c r="D22">
        <v>53792927</v>
      </c>
      <c r="E22">
        <v>1</v>
      </c>
      <c r="F22">
        <v>1</v>
      </c>
      <c r="G22">
        <v>1</v>
      </c>
      <c r="H22">
        <v>2</v>
      </c>
      <c r="I22" t="s">
        <v>289</v>
      </c>
      <c r="J22" t="s">
        <v>290</v>
      </c>
      <c r="K22" t="s">
        <v>291</v>
      </c>
      <c r="L22">
        <v>1367</v>
      </c>
      <c r="N22">
        <v>1011</v>
      </c>
      <c r="O22" t="s">
        <v>285</v>
      </c>
      <c r="P22" t="s">
        <v>285</v>
      </c>
      <c r="Q22">
        <v>1</v>
      </c>
      <c r="W22">
        <v>0</v>
      </c>
      <c r="X22">
        <v>509054691</v>
      </c>
      <c r="Y22">
        <v>0.238</v>
      </c>
      <c r="AA22">
        <v>0</v>
      </c>
      <c r="AB22">
        <v>65.71</v>
      </c>
      <c r="AC22">
        <v>11.6</v>
      </c>
      <c r="AD22">
        <v>0</v>
      </c>
      <c r="AE22">
        <v>0</v>
      </c>
      <c r="AF22">
        <v>65.71</v>
      </c>
      <c r="AG22">
        <v>11.6</v>
      </c>
      <c r="AH22">
        <v>0</v>
      </c>
      <c r="AI22">
        <v>1</v>
      </c>
      <c r="AJ22">
        <v>1</v>
      </c>
      <c r="AK22">
        <v>1</v>
      </c>
      <c r="AL22">
        <v>1</v>
      </c>
      <c r="AN22">
        <v>0</v>
      </c>
      <c r="AO22">
        <v>1</v>
      </c>
      <c r="AP22">
        <v>1</v>
      </c>
      <c r="AQ22">
        <v>0</v>
      </c>
      <c r="AR22">
        <v>0</v>
      </c>
      <c r="AT22">
        <v>0.34</v>
      </c>
      <c r="AU22" t="s">
        <v>30</v>
      </c>
      <c r="AV22">
        <v>0</v>
      </c>
      <c r="AW22">
        <v>2</v>
      </c>
      <c r="AX22">
        <v>55668972</v>
      </c>
      <c r="AY22">
        <v>1</v>
      </c>
      <c r="AZ22">
        <v>0</v>
      </c>
      <c r="BA22">
        <v>30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Y22*Source!I30</f>
        <v>0.0023799999999999997</v>
      </c>
      <c r="CY22">
        <f>AB22</f>
        <v>65.71</v>
      </c>
      <c r="CZ22">
        <f>AF22</f>
        <v>65.71</v>
      </c>
      <c r="DA22">
        <f>AJ22</f>
        <v>1</v>
      </c>
      <c r="DB22">
        <f>ROUND((ROUND(AT22*CZ22,2)*ROUND(0.7,7)),2)</f>
        <v>15.64</v>
      </c>
      <c r="DC22">
        <f>ROUND((ROUND(AT22*AG22,2)*ROUND(0.7,7)),2)</f>
        <v>2.76</v>
      </c>
    </row>
    <row r="23" spans="1:107" ht="12.75">
      <c r="A23">
        <f>ROW(Source!A30)</f>
        <v>30</v>
      </c>
      <c r="B23">
        <v>55668703</v>
      </c>
      <c r="C23">
        <v>55668962</v>
      </c>
      <c r="D23">
        <v>53659482</v>
      </c>
      <c r="E23">
        <v>1</v>
      </c>
      <c r="F23">
        <v>1</v>
      </c>
      <c r="G23">
        <v>1</v>
      </c>
      <c r="H23">
        <v>3</v>
      </c>
      <c r="I23" t="s">
        <v>48</v>
      </c>
      <c r="J23" t="s">
        <v>51</v>
      </c>
      <c r="K23" t="s">
        <v>49</v>
      </c>
      <c r="L23">
        <v>1371</v>
      </c>
      <c r="N23">
        <v>1013</v>
      </c>
      <c r="O23" t="s">
        <v>50</v>
      </c>
      <c r="P23" t="s">
        <v>50</v>
      </c>
      <c r="Q23">
        <v>1</v>
      </c>
      <c r="W23">
        <v>1</v>
      </c>
      <c r="X23">
        <v>1897660979</v>
      </c>
      <c r="Y23">
        <v>0</v>
      </c>
      <c r="AA23">
        <v>346</v>
      </c>
      <c r="AB23">
        <v>0</v>
      </c>
      <c r="AC23">
        <v>0</v>
      </c>
      <c r="AD23">
        <v>0</v>
      </c>
      <c r="AE23">
        <v>346</v>
      </c>
      <c r="AF23">
        <v>0</v>
      </c>
      <c r="AG23">
        <v>0</v>
      </c>
      <c r="AH23">
        <v>0</v>
      </c>
      <c r="AI23">
        <v>1</v>
      </c>
      <c r="AJ23">
        <v>1</v>
      </c>
      <c r="AK23">
        <v>1</v>
      </c>
      <c r="AL23">
        <v>1</v>
      </c>
      <c r="AN23">
        <v>0</v>
      </c>
      <c r="AO23">
        <v>1</v>
      </c>
      <c r="AP23">
        <v>1</v>
      </c>
      <c r="AQ23">
        <v>0</v>
      </c>
      <c r="AR23">
        <v>0</v>
      </c>
      <c r="AT23">
        <v>-0.01</v>
      </c>
      <c r="AU23" t="s">
        <v>29</v>
      </c>
      <c r="AV23">
        <v>0</v>
      </c>
      <c r="AW23">
        <v>2</v>
      </c>
      <c r="AX23">
        <v>55668973</v>
      </c>
      <c r="AY23">
        <v>1</v>
      </c>
      <c r="AZ23">
        <v>4096</v>
      </c>
      <c r="BA23">
        <v>31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Y23*Source!I30</f>
        <v>0</v>
      </c>
      <c r="CY23">
        <f>AA23</f>
        <v>346</v>
      </c>
      <c r="CZ23">
        <f>AE23</f>
        <v>346</v>
      </c>
      <c r="DA23">
        <f>AI23</f>
        <v>1</v>
      </c>
      <c r="DB23">
        <f>ROUND((ROUND(AT23*CZ23,2)*ROUND(0,7)),2)</f>
        <v>0</v>
      </c>
      <c r="DC23">
        <f>ROUND((ROUND(AT23*AG23,2)*ROUND(0,7)),2)</f>
        <v>0</v>
      </c>
    </row>
    <row r="24" spans="1:107" ht="12.75">
      <c r="A24">
        <f>ROW(Source!A30)</f>
        <v>30</v>
      </c>
      <c r="B24">
        <v>55668703</v>
      </c>
      <c r="C24">
        <v>55668962</v>
      </c>
      <c r="D24">
        <v>53662892</v>
      </c>
      <c r="E24">
        <v>1</v>
      </c>
      <c r="F24">
        <v>1</v>
      </c>
      <c r="G24">
        <v>1</v>
      </c>
      <c r="H24">
        <v>3</v>
      </c>
      <c r="I24" t="s">
        <v>53</v>
      </c>
      <c r="J24" t="s">
        <v>55</v>
      </c>
      <c r="K24" t="s">
        <v>54</v>
      </c>
      <c r="L24">
        <v>1348</v>
      </c>
      <c r="N24">
        <v>1009</v>
      </c>
      <c r="O24" t="s">
        <v>41</v>
      </c>
      <c r="P24" t="s">
        <v>41</v>
      </c>
      <c r="Q24">
        <v>1000</v>
      </c>
      <c r="W24">
        <v>1</v>
      </c>
      <c r="X24">
        <v>-1788787296</v>
      </c>
      <c r="Y24">
        <v>0</v>
      </c>
      <c r="AA24">
        <v>10100</v>
      </c>
      <c r="AB24">
        <v>0</v>
      </c>
      <c r="AC24">
        <v>0</v>
      </c>
      <c r="AD24">
        <v>0</v>
      </c>
      <c r="AE24">
        <v>10100</v>
      </c>
      <c r="AF24">
        <v>0</v>
      </c>
      <c r="AG24">
        <v>0</v>
      </c>
      <c r="AH24">
        <v>0</v>
      </c>
      <c r="AI24">
        <v>1</v>
      </c>
      <c r="AJ24">
        <v>1</v>
      </c>
      <c r="AK24">
        <v>1</v>
      </c>
      <c r="AL24">
        <v>1</v>
      </c>
      <c r="AN24">
        <v>0</v>
      </c>
      <c r="AO24">
        <v>1</v>
      </c>
      <c r="AP24">
        <v>1</v>
      </c>
      <c r="AQ24">
        <v>0</v>
      </c>
      <c r="AR24">
        <v>0</v>
      </c>
      <c r="AT24">
        <v>-1</v>
      </c>
      <c r="AU24" t="s">
        <v>29</v>
      </c>
      <c r="AV24">
        <v>0</v>
      </c>
      <c r="AW24">
        <v>2</v>
      </c>
      <c r="AX24">
        <v>55668974</v>
      </c>
      <c r="AY24">
        <v>1</v>
      </c>
      <c r="AZ24">
        <v>4096</v>
      </c>
      <c r="BA24">
        <v>32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Y24*Source!I30</f>
        <v>0</v>
      </c>
      <c r="CY24">
        <f>AA24</f>
        <v>10100</v>
      </c>
      <c r="CZ24">
        <f>AE24</f>
        <v>10100</v>
      </c>
      <c r="DA24">
        <f>AI24</f>
        <v>1</v>
      </c>
      <c r="DB24">
        <f>ROUND((ROUND(AT24*CZ24,2)*ROUND(0,7)),2)</f>
        <v>0</v>
      </c>
      <c r="DC24">
        <f>ROUND((ROUND(AT24*AG24,2)*ROUND(0,7)),2)</f>
        <v>0</v>
      </c>
    </row>
    <row r="25" spans="1:107" ht="12.75">
      <c r="A25">
        <f>ROW(Source!A31)</f>
        <v>31</v>
      </c>
      <c r="B25">
        <v>55668704</v>
      </c>
      <c r="C25">
        <v>55668962</v>
      </c>
      <c r="D25">
        <v>53630073</v>
      </c>
      <c r="E25">
        <v>70</v>
      </c>
      <c r="F25">
        <v>1</v>
      </c>
      <c r="G25">
        <v>1</v>
      </c>
      <c r="H25">
        <v>1</v>
      </c>
      <c r="I25" t="s">
        <v>306</v>
      </c>
      <c r="K25" t="s">
        <v>307</v>
      </c>
      <c r="L25">
        <v>1191</v>
      </c>
      <c r="N25">
        <v>1013</v>
      </c>
      <c r="O25" t="s">
        <v>279</v>
      </c>
      <c r="P25" t="s">
        <v>279</v>
      </c>
      <c r="Q25">
        <v>1</v>
      </c>
      <c r="W25">
        <v>0</v>
      </c>
      <c r="X25">
        <v>-1759674247</v>
      </c>
      <c r="Y25">
        <v>202.29999999999998</v>
      </c>
      <c r="AA25">
        <v>0</v>
      </c>
      <c r="AB25">
        <v>0</v>
      </c>
      <c r="AC25">
        <v>0</v>
      </c>
      <c r="AD25">
        <v>330.83</v>
      </c>
      <c r="AE25">
        <v>0</v>
      </c>
      <c r="AF25">
        <v>0</v>
      </c>
      <c r="AG25">
        <v>0</v>
      </c>
      <c r="AH25">
        <v>8.86</v>
      </c>
      <c r="AI25">
        <v>1</v>
      </c>
      <c r="AJ25">
        <v>1</v>
      </c>
      <c r="AK25">
        <v>1</v>
      </c>
      <c r="AL25">
        <v>37.34</v>
      </c>
      <c r="AN25">
        <v>0</v>
      </c>
      <c r="AO25">
        <v>1</v>
      </c>
      <c r="AP25">
        <v>1</v>
      </c>
      <c r="AQ25">
        <v>0</v>
      </c>
      <c r="AR25">
        <v>0</v>
      </c>
      <c r="AT25">
        <v>289</v>
      </c>
      <c r="AU25" t="s">
        <v>30</v>
      </c>
      <c r="AV25">
        <v>1</v>
      </c>
      <c r="AW25">
        <v>2</v>
      </c>
      <c r="AX25">
        <v>55668969</v>
      </c>
      <c r="AY25">
        <v>1</v>
      </c>
      <c r="AZ25">
        <v>0</v>
      </c>
      <c r="BA25">
        <v>33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Y25*Source!I31</f>
        <v>2.0229999999999997</v>
      </c>
      <c r="CY25">
        <f>AD25</f>
        <v>330.83</v>
      </c>
      <c r="CZ25">
        <f>AH25</f>
        <v>8.86</v>
      </c>
      <c r="DA25">
        <f>AL25</f>
        <v>37.34</v>
      </c>
      <c r="DB25">
        <f>ROUND((ROUND(AT25*CZ25,2)*ROUND(0.7,7)),2)</f>
        <v>1792.38</v>
      </c>
      <c r="DC25">
        <f>ROUND((ROUND(AT25*AG25,2)*ROUND(0.7,7)),2)</f>
        <v>0</v>
      </c>
    </row>
    <row r="26" spans="1:107" ht="12.75">
      <c r="A26">
        <f>ROW(Source!A31)</f>
        <v>31</v>
      </c>
      <c r="B26">
        <v>55668704</v>
      </c>
      <c r="C26">
        <v>55668962</v>
      </c>
      <c r="D26">
        <v>53630257</v>
      </c>
      <c r="E26">
        <v>70</v>
      </c>
      <c r="F26">
        <v>1</v>
      </c>
      <c r="G26">
        <v>1</v>
      </c>
      <c r="H26">
        <v>1</v>
      </c>
      <c r="I26" t="s">
        <v>280</v>
      </c>
      <c r="K26" t="s">
        <v>281</v>
      </c>
      <c r="L26">
        <v>1191</v>
      </c>
      <c r="N26">
        <v>1013</v>
      </c>
      <c r="O26" t="s">
        <v>279</v>
      </c>
      <c r="P26" t="s">
        <v>279</v>
      </c>
      <c r="Q26">
        <v>1</v>
      </c>
      <c r="W26">
        <v>0</v>
      </c>
      <c r="X26">
        <v>-1417349443</v>
      </c>
      <c r="Y26">
        <v>0.413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1</v>
      </c>
      <c r="AJ26">
        <v>1</v>
      </c>
      <c r="AK26">
        <v>37.34</v>
      </c>
      <c r="AL26">
        <v>1</v>
      </c>
      <c r="AN26">
        <v>0</v>
      </c>
      <c r="AO26">
        <v>1</v>
      </c>
      <c r="AP26">
        <v>1</v>
      </c>
      <c r="AQ26">
        <v>0</v>
      </c>
      <c r="AR26">
        <v>0</v>
      </c>
      <c r="AT26">
        <v>0.59</v>
      </c>
      <c r="AU26" t="s">
        <v>30</v>
      </c>
      <c r="AV26">
        <v>2</v>
      </c>
      <c r="AW26">
        <v>2</v>
      </c>
      <c r="AX26">
        <v>55668970</v>
      </c>
      <c r="AY26">
        <v>1</v>
      </c>
      <c r="AZ26">
        <v>0</v>
      </c>
      <c r="BA26">
        <v>34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Y26*Source!I31</f>
        <v>0.00413</v>
      </c>
      <c r="CY26">
        <f>AD26</f>
        <v>0</v>
      </c>
      <c r="CZ26">
        <f>AH26</f>
        <v>0</v>
      </c>
      <c r="DA26">
        <f>AL26</f>
        <v>1</v>
      </c>
      <c r="DB26">
        <f>ROUND((ROUND(AT26*CZ26,2)*ROUND(0.7,7)),2)</f>
        <v>0</v>
      </c>
      <c r="DC26">
        <f>ROUND((ROUND(AT26*AG26,2)*ROUND(0.7,7)),2)</f>
        <v>0</v>
      </c>
    </row>
    <row r="27" spans="1:107" ht="12.75">
      <c r="A27">
        <f>ROW(Source!A31)</f>
        <v>31</v>
      </c>
      <c r="B27">
        <v>55668704</v>
      </c>
      <c r="C27">
        <v>55668962</v>
      </c>
      <c r="D27">
        <v>53791997</v>
      </c>
      <c r="E27">
        <v>1</v>
      </c>
      <c r="F27">
        <v>1</v>
      </c>
      <c r="G27">
        <v>1</v>
      </c>
      <c r="H27">
        <v>2</v>
      </c>
      <c r="I27" t="s">
        <v>282</v>
      </c>
      <c r="J27" t="s">
        <v>283</v>
      </c>
      <c r="K27" t="s">
        <v>284</v>
      </c>
      <c r="L27">
        <v>1367</v>
      </c>
      <c r="N27">
        <v>1011</v>
      </c>
      <c r="O27" t="s">
        <v>285</v>
      </c>
      <c r="P27" t="s">
        <v>285</v>
      </c>
      <c r="Q27">
        <v>1</v>
      </c>
      <c r="W27">
        <v>0</v>
      </c>
      <c r="X27">
        <v>-430484415</v>
      </c>
      <c r="Y27">
        <v>0.175</v>
      </c>
      <c r="AA27">
        <v>0</v>
      </c>
      <c r="AB27">
        <v>1527.9</v>
      </c>
      <c r="AC27">
        <v>504.09</v>
      </c>
      <c r="AD27">
        <v>0</v>
      </c>
      <c r="AE27">
        <v>0</v>
      </c>
      <c r="AF27">
        <v>115.4</v>
      </c>
      <c r="AG27">
        <v>13.5</v>
      </c>
      <c r="AH27">
        <v>0</v>
      </c>
      <c r="AI27">
        <v>1</v>
      </c>
      <c r="AJ27">
        <v>13.24</v>
      </c>
      <c r="AK27">
        <v>37.34</v>
      </c>
      <c r="AL27">
        <v>1</v>
      </c>
      <c r="AN27">
        <v>0</v>
      </c>
      <c r="AO27">
        <v>1</v>
      </c>
      <c r="AP27">
        <v>1</v>
      </c>
      <c r="AQ27">
        <v>0</v>
      </c>
      <c r="AR27">
        <v>0</v>
      </c>
      <c r="AT27">
        <v>0.25</v>
      </c>
      <c r="AU27" t="s">
        <v>30</v>
      </c>
      <c r="AV27">
        <v>0</v>
      </c>
      <c r="AW27">
        <v>2</v>
      </c>
      <c r="AX27">
        <v>55668971</v>
      </c>
      <c r="AY27">
        <v>1</v>
      </c>
      <c r="AZ27">
        <v>0</v>
      </c>
      <c r="BA27">
        <v>35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Y27*Source!I31</f>
        <v>0.0017499999999999998</v>
      </c>
      <c r="CY27">
        <f>AB27</f>
        <v>1527.9</v>
      </c>
      <c r="CZ27">
        <f>AF27</f>
        <v>115.4</v>
      </c>
      <c r="DA27">
        <f>AJ27</f>
        <v>13.24</v>
      </c>
      <c r="DB27">
        <f>ROUND((ROUND(AT27*CZ27,2)*ROUND(0.7,7)),2)</f>
        <v>20.2</v>
      </c>
      <c r="DC27">
        <f>ROUND((ROUND(AT27*AG27,2)*ROUND(0.7,7)),2)</f>
        <v>2.37</v>
      </c>
    </row>
    <row r="28" spans="1:107" ht="12.75">
      <c r="A28">
        <f>ROW(Source!A31)</f>
        <v>31</v>
      </c>
      <c r="B28">
        <v>55668704</v>
      </c>
      <c r="C28">
        <v>55668962</v>
      </c>
      <c r="D28">
        <v>53792927</v>
      </c>
      <c r="E28">
        <v>1</v>
      </c>
      <c r="F28">
        <v>1</v>
      </c>
      <c r="G28">
        <v>1</v>
      </c>
      <c r="H28">
        <v>2</v>
      </c>
      <c r="I28" t="s">
        <v>289</v>
      </c>
      <c r="J28" t="s">
        <v>290</v>
      </c>
      <c r="K28" t="s">
        <v>291</v>
      </c>
      <c r="L28">
        <v>1367</v>
      </c>
      <c r="N28">
        <v>1011</v>
      </c>
      <c r="O28" t="s">
        <v>285</v>
      </c>
      <c r="P28" t="s">
        <v>285</v>
      </c>
      <c r="Q28">
        <v>1</v>
      </c>
      <c r="W28">
        <v>0</v>
      </c>
      <c r="X28">
        <v>509054691</v>
      </c>
      <c r="Y28">
        <v>0.238</v>
      </c>
      <c r="AA28">
        <v>0</v>
      </c>
      <c r="AB28">
        <v>870</v>
      </c>
      <c r="AC28">
        <v>433.14</v>
      </c>
      <c r="AD28">
        <v>0</v>
      </c>
      <c r="AE28">
        <v>0</v>
      </c>
      <c r="AF28">
        <v>65.71</v>
      </c>
      <c r="AG28">
        <v>11.6</v>
      </c>
      <c r="AH28">
        <v>0</v>
      </c>
      <c r="AI28">
        <v>1</v>
      </c>
      <c r="AJ28">
        <v>13.24</v>
      </c>
      <c r="AK28">
        <v>37.34</v>
      </c>
      <c r="AL28">
        <v>1</v>
      </c>
      <c r="AN28">
        <v>0</v>
      </c>
      <c r="AO28">
        <v>1</v>
      </c>
      <c r="AP28">
        <v>1</v>
      </c>
      <c r="AQ28">
        <v>0</v>
      </c>
      <c r="AR28">
        <v>0</v>
      </c>
      <c r="AT28">
        <v>0.34</v>
      </c>
      <c r="AU28" t="s">
        <v>30</v>
      </c>
      <c r="AV28">
        <v>0</v>
      </c>
      <c r="AW28">
        <v>2</v>
      </c>
      <c r="AX28">
        <v>55668972</v>
      </c>
      <c r="AY28">
        <v>1</v>
      </c>
      <c r="AZ28">
        <v>0</v>
      </c>
      <c r="BA28">
        <v>36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Y28*Source!I31</f>
        <v>0.0023799999999999997</v>
      </c>
      <c r="CY28">
        <f>AB28</f>
        <v>870</v>
      </c>
      <c r="CZ28">
        <f>AF28</f>
        <v>65.71</v>
      </c>
      <c r="DA28">
        <f>AJ28</f>
        <v>13.24</v>
      </c>
      <c r="DB28">
        <f>ROUND((ROUND(AT28*CZ28,2)*ROUND(0.7,7)),2)</f>
        <v>15.64</v>
      </c>
      <c r="DC28">
        <f>ROUND((ROUND(AT28*AG28,2)*ROUND(0.7,7)),2)</f>
        <v>2.76</v>
      </c>
    </row>
    <row r="29" spans="1:107" ht="12.75">
      <c r="A29">
        <f>ROW(Source!A31)</f>
        <v>31</v>
      </c>
      <c r="B29">
        <v>55668704</v>
      </c>
      <c r="C29">
        <v>55668962</v>
      </c>
      <c r="D29">
        <v>53659482</v>
      </c>
      <c r="E29">
        <v>1</v>
      </c>
      <c r="F29">
        <v>1</v>
      </c>
      <c r="G29">
        <v>1</v>
      </c>
      <c r="H29">
        <v>3</v>
      </c>
      <c r="I29" t="s">
        <v>48</v>
      </c>
      <c r="J29" t="s">
        <v>51</v>
      </c>
      <c r="K29" t="s">
        <v>49</v>
      </c>
      <c r="L29">
        <v>1371</v>
      </c>
      <c r="N29">
        <v>1013</v>
      </c>
      <c r="O29" t="s">
        <v>50</v>
      </c>
      <c r="P29" t="s">
        <v>50</v>
      </c>
      <c r="Q29">
        <v>1</v>
      </c>
      <c r="W29">
        <v>1</v>
      </c>
      <c r="X29">
        <v>1897660979</v>
      </c>
      <c r="Y29">
        <v>0</v>
      </c>
      <c r="AA29">
        <v>2325.12</v>
      </c>
      <c r="AB29">
        <v>0</v>
      </c>
      <c r="AC29">
        <v>0</v>
      </c>
      <c r="AD29">
        <v>0</v>
      </c>
      <c r="AE29">
        <v>346</v>
      </c>
      <c r="AF29">
        <v>0</v>
      </c>
      <c r="AG29">
        <v>0</v>
      </c>
      <c r="AH29">
        <v>0</v>
      </c>
      <c r="AI29">
        <v>6.72</v>
      </c>
      <c r="AJ29">
        <v>1</v>
      </c>
      <c r="AK29">
        <v>1</v>
      </c>
      <c r="AL29">
        <v>1</v>
      </c>
      <c r="AN29">
        <v>0</v>
      </c>
      <c r="AO29">
        <v>1</v>
      </c>
      <c r="AP29">
        <v>1</v>
      </c>
      <c r="AQ29">
        <v>0</v>
      </c>
      <c r="AR29">
        <v>0</v>
      </c>
      <c r="AT29">
        <v>-0.01</v>
      </c>
      <c r="AU29" t="s">
        <v>29</v>
      </c>
      <c r="AV29">
        <v>0</v>
      </c>
      <c r="AW29">
        <v>2</v>
      </c>
      <c r="AX29">
        <v>55668973</v>
      </c>
      <c r="AY29">
        <v>1</v>
      </c>
      <c r="AZ29">
        <v>4096</v>
      </c>
      <c r="BA29">
        <v>37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Y29*Source!I31</f>
        <v>0</v>
      </c>
      <c r="CY29">
        <f>AA29</f>
        <v>2325.12</v>
      </c>
      <c r="CZ29">
        <f>AE29</f>
        <v>346</v>
      </c>
      <c r="DA29">
        <f>AI29</f>
        <v>6.72</v>
      </c>
      <c r="DB29">
        <f>ROUND((ROUND(AT29*CZ29,2)*ROUND(0,7)),2)</f>
        <v>0</v>
      </c>
      <c r="DC29">
        <f>ROUND((ROUND(AT29*AG29,2)*ROUND(0,7)),2)</f>
        <v>0</v>
      </c>
    </row>
    <row r="30" spans="1:107" ht="12.75">
      <c r="A30">
        <f>ROW(Source!A31)</f>
        <v>31</v>
      </c>
      <c r="B30">
        <v>55668704</v>
      </c>
      <c r="C30">
        <v>55668962</v>
      </c>
      <c r="D30">
        <v>53662892</v>
      </c>
      <c r="E30">
        <v>1</v>
      </c>
      <c r="F30">
        <v>1</v>
      </c>
      <c r="G30">
        <v>1</v>
      </c>
      <c r="H30">
        <v>3</v>
      </c>
      <c r="I30" t="s">
        <v>53</v>
      </c>
      <c r="J30" t="s">
        <v>55</v>
      </c>
      <c r="K30" t="s">
        <v>54</v>
      </c>
      <c r="L30">
        <v>1348</v>
      </c>
      <c r="N30">
        <v>1009</v>
      </c>
      <c r="O30" t="s">
        <v>41</v>
      </c>
      <c r="P30" t="s">
        <v>41</v>
      </c>
      <c r="Q30">
        <v>1000</v>
      </c>
      <c r="W30">
        <v>1</v>
      </c>
      <c r="X30">
        <v>-1788787296</v>
      </c>
      <c r="Y30">
        <v>0</v>
      </c>
      <c r="AA30">
        <v>67872</v>
      </c>
      <c r="AB30">
        <v>0</v>
      </c>
      <c r="AC30">
        <v>0</v>
      </c>
      <c r="AD30">
        <v>0</v>
      </c>
      <c r="AE30">
        <v>10100</v>
      </c>
      <c r="AF30">
        <v>0</v>
      </c>
      <c r="AG30">
        <v>0</v>
      </c>
      <c r="AH30">
        <v>0</v>
      </c>
      <c r="AI30">
        <v>6.72</v>
      </c>
      <c r="AJ30">
        <v>1</v>
      </c>
      <c r="AK30">
        <v>1</v>
      </c>
      <c r="AL30">
        <v>1</v>
      </c>
      <c r="AN30">
        <v>0</v>
      </c>
      <c r="AO30">
        <v>1</v>
      </c>
      <c r="AP30">
        <v>1</v>
      </c>
      <c r="AQ30">
        <v>0</v>
      </c>
      <c r="AR30">
        <v>0</v>
      </c>
      <c r="AT30">
        <v>-1</v>
      </c>
      <c r="AU30" t="s">
        <v>29</v>
      </c>
      <c r="AV30">
        <v>0</v>
      </c>
      <c r="AW30">
        <v>2</v>
      </c>
      <c r="AX30">
        <v>55668974</v>
      </c>
      <c r="AY30">
        <v>1</v>
      </c>
      <c r="AZ30">
        <v>4096</v>
      </c>
      <c r="BA30">
        <v>38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Y30*Source!I31</f>
        <v>0</v>
      </c>
      <c r="CY30">
        <f>AA30</f>
        <v>67872</v>
      </c>
      <c r="CZ30">
        <f>AE30</f>
        <v>10100</v>
      </c>
      <c r="DA30">
        <f>AI30</f>
        <v>6.72</v>
      </c>
      <c r="DB30">
        <f>ROUND((ROUND(AT30*CZ30,2)*ROUND(0,7)),2)</f>
        <v>0</v>
      </c>
      <c r="DC30">
        <f>ROUND((ROUND(AT30*AG30,2)*ROUND(0,7)),2)</f>
        <v>0</v>
      </c>
    </row>
    <row r="31" spans="1:107" ht="12.75">
      <c r="A31">
        <f>ROW(Source!A36)</f>
        <v>36</v>
      </c>
      <c r="B31">
        <v>55668703</v>
      </c>
      <c r="C31">
        <v>55669023</v>
      </c>
      <c r="D31">
        <v>53630109</v>
      </c>
      <c r="E31">
        <v>70</v>
      </c>
      <c r="F31">
        <v>1</v>
      </c>
      <c r="G31">
        <v>1</v>
      </c>
      <c r="H31">
        <v>1</v>
      </c>
      <c r="I31" t="s">
        <v>308</v>
      </c>
      <c r="K31" t="s">
        <v>309</v>
      </c>
      <c r="L31">
        <v>1191</v>
      </c>
      <c r="N31">
        <v>1013</v>
      </c>
      <c r="O31" t="s">
        <v>279</v>
      </c>
      <c r="P31" t="s">
        <v>279</v>
      </c>
      <c r="Q31">
        <v>1</v>
      </c>
      <c r="W31">
        <v>0</v>
      </c>
      <c r="X31">
        <v>-1111239348</v>
      </c>
      <c r="Y31">
        <v>17.3</v>
      </c>
      <c r="AA31">
        <v>0</v>
      </c>
      <c r="AB31">
        <v>0</v>
      </c>
      <c r="AC31">
        <v>0</v>
      </c>
      <c r="AD31">
        <v>9.62</v>
      </c>
      <c r="AE31">
        <v>0</v>
      </c>
      <c r="AF31">
        <v>0</v>
      </c>
      <c r="AG31">
        <v>0</v>
      </c>
      <c r="AH31">
        <v>9.62</v>
      </c>
      <c r="AI31">
        <v>1</v>
      </c>
      <c r="AJ31">
        <v>1</v>
      </c>
      <c r="AK31">
        <v>1</v>
      </c>
      <c r="AL31">
        <v>1</v>
      </c>
      <c r="AN31">
        <v>0</v>
      </c>
      <c r="AO31">
        <v>1</v>
      </c>
      <c r="AP31">
        <v>0</v>
      </c>
      <c r="AQ31">
        <v>0</v>
      </c>
      <c r="AR31">
        <v>0</v>
      </c>
      <c r="AT31">
        <v>17.3</v>
      </c>
      <c r="AV31">
        <v>1</v>
      </c>
      <c r="AW31">
        <v>2</v>
      </c>
      <c r="AX31">
        <v>55669030</v>
      </c>
      <c r="AY31">
        <v>1</v>
      </c>
      <c r="AZ31">
        <v>0</v>
      </c>
      <c r="BA31">
        <v>39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Y31*Source!I36</f>
        <v>2.7680000000000002</v>
      </c>
      <c r="CY31">
        <f>AD31</f>
        <v>9.62</v>
      </c>
      <c r="CZ31">
        <f>AH31</f>
        <v>9.62</v>
      </c>
      <c r="DA31">
        <f>AL31</f>
        <v>1</v>
      </c>
      <c r="DB31">
        <f aca="true" t="shared" si="0" ref="DB31:DB42">ROUND(ROUND(AT31*CZ31,2),2)</f>
        <v>166.43</v>
      </c>
      <c r="DC31">
        <f aca="true" t="shared" si="1" ref="DC31:DC42">ROUND(ROUND(AT31*AG31,2),2)</f>
        <v>0</v>
      </c>
    </row>
    <row r="32" spans="1:107" ht="12.75">
      <c r="A32">
        <f>ROW(Source!A36)</f>
        <v>36</v>
      </c>
      <c r="B32">
        <v>55668703</v>
      </c>
      <c r="C32">
        <v>55669023</v>
      </c>
      <c r="D32">
        <v>53630257</v>
      </c>
      <c r="E32">
        <v>70</v>
      </c>
      <c r="F32">
        <v>1</v>
      </c>
      <c r="G32">
        <v>1</v>
      </c>
      <c r="H32">
        <v>1</v>
      </c>
      <c r="I32" t="s">
        <v>280</v>
      </c>
      <c r="K32" t="s">
        <v>281</v>
      </c>
      <c r="L32">
        <v>1191</v>
      </c>
      <c r="N32">
        <v>1013</v>
      </c>
      <c r="O32" t="s">
        <v>279</v>
      </c>
      <c r="P32" t="s">
        <v>279</v>
      </c>
      <c r="Q32">
        <v>1</v>
      </c>
      <c r="W32">
        <v>0</v>
      </c>
      <c r="X32">
        <v>-1417349443</v>
      </c>
      <c r="Y32">
        <v>18.2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1</v>
      </c>
      <c r="AJ32">
        <v>1</v>
      </c>
      <c r="AK32">
        <v>1</v>
      </c>
      <c r="AL32">
        <v>1</v>
      </c>
      <c r="AN32">
        <v>0</v>
      </c>
      <c r="AO32">
        <v>1</v>
      </c>
      <c r="AP32">
        <v>0</v>
      </c>
      <c r="AQ32">
        <v>0</v>
      </c>
      <c r="AR32">
        <v>0</v>
      </c>
      <c r="AT32">
        <v>18.2</v>
      </c>
      <c r="AV32">
        <v>2</v>
      </c>
      <c r="AW32">
        <v>2</v>
      </c>
      <c r="AX32">
        <v>55669031</v>
      </c>
      <c r="AY32">
        <v>1</v>
      </c>
      <c r="AZ32">
        <v>0</v>
      </c>
      <c r="BA32">
        <v>40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Y32*Source!I36</f>
        <v>2.912</v>
      </c>
      <c r="CY32">
        <f>AD32</f>
        <v>0</v>
      </c>
      <c r="CZ32">
        <f>AH32</f>
        <v>0</v>
      </c>
      <c r="DA32">
        <f>AL32</f>
        <v>1</v>
      </c>
      <c r="DB32">
        <f t="shared" si="0"/>
        <v>0</v>
      </c>
      <c r="DC32">
        <f t="shared" si="1"/>
        <v>0</v>
      </c>
    </row>
    <row r="33" spans="1:107" ht="12.75">
      <c r="A33">
        <f>ROW(Source!A36)</f>
        <v>36</v>
      </c>
      <c r="B33">
        <v>55668703</v>
      </c>
      <c r="C33">
        <v>55669023</v>
      </c>
      <c r="D33">
        <v>53792927</v>
      </c>
      <c r="E33">
        <v>1</v>
      </c>
      <c r="F33">
        <v>1</v>
      </c>
      <c r="G33">
        <v>1</v>
      </c>
      <c r="H33">
        <v>2</v>
      </c>
      <c r="I33" t="s">
        <v>289</v>
      </c>
      <c r="J33" t="s">
        <v>290</v>
      </c>
      <c r="K33" t="s">
        <v>291</v>
      </c>
      <c r="L33">
        <v>1367</v>
      </c>
      <c r="N33">
        <v>1011</v>
      </c>
      <c r="O33" t="s">
        <v>285</v>
      </c>
      <c r="P33" t="s">
        <v>285</v>
      </c>
      <c r="Q33">
        <v>1</v>
      </c>
      <c r="W33">
        <v>0</v>
      </c>
      <c r="X33">
        <v>509054691</v>
      </c>
      <c r="Y33">
        <v>1.8</v>
      </c>
      <c r="AA33">
        <v>0</v>
      </c>
      <c r="AB33">
        <v>65.71</v>
      </c>
      <c r="AC33">
        <v>11.6</v>
      </c>
      <c r="AD33">
        <v>0</v>
      </c>
      <c r="AE33">
        <v>0</v>
      </c>
      <c r="AF33">
        <v>65.71</v>
      </c>
      <c r="AG33">
        <v>11.6</v>
      </c>
      <c r="AH33">
        <v>0</v>
      </c>
      <c r="AI33">
        <v>1</v>
      </c>
      <c r="AJ33">
        <v>1</v>
      </c>
      <c r="AK33">
        <v>1</v>
      </c>
      <c r="AL33">
        <v>1</v>
      </c>
      <c r="AN33">
        <v>0</v>
      </c>
      <c r="AO33">
        <v>1</v>
      </c>
      <c r="AP33">
        <v>0</v>
      </c>
      <c r="AQ33">
        <v>0</v>
      </c>
      <c r="AR33">
        <v>0</v>
      </c>
      <c r="AT33">
        <v>1.8</v>
      </c>
      <c r="AV33">
        <v>0</v>
      </c>
      <c r="AW33">
        <v>2</v>
      </c>
      <c r="AX33">
        <v>55669032</v>
      </c>
      <c r="AY33">
        <v>1</v>
      </c>
      <c r="AZ33">
        <v>0</v>
      </c>
      <c r="BA33">
        <v>41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Y33*Source!I36</f>
        <v>0.28800000000000003</v>
      </c>
      <c r="CY33">
        <f>AB33</f>
        <v>65.71</v>
      </c>
      <c r="CZ33">
        <f>AF33</f>
        <v>65.71</v>
      </c>
      <c r="DA33">
        <f>AJ33</f>
        <v>1</v>
      </c>
      <c r="DB33">
        <f t="shared" si="0"/>
        <v>118.28</v>
      </c>
      <c r="DC33">
        <f t="shared" si="1"/>
        <v>20.88</v>
      </c>
    </row>
    <row r="34" spans="1:107" ht="12.75">
      <c r="A34">
        <f>ROW(Source!A36)</f>
        <v>36</v>
      </c>
      <c r="B34">
        <v>55668703</v>
      </c>
      <c r="C34">
        <v>55669023</v>
      </c>
      <c r="D34">
        <v>53793708</v>
      </c>
      <c r="E34">
        <v>1</v>
      </c>
      <c r="F34">
        <v>1</v>
      </c>
      <c r="G34">
        <v>1</v>
      </c>
      <c r="H34">
        <v>2</v>
      </c>
      <c r="I34" t="s">
        <v>310</v>
      </c>
      <c r="J34" t="s">
        <v>311</v>
      </c>
      <c r="K34" t="s">
        <v>312</v>
      </c>
      <c r="L34">
        <v>1367</v>
      </c>
      <c r="N34">
        <v>1011</v>
      </c>
      <c r="O34" t="s">
        <v>285</v>
      </c>
      <c r="P34" t="s">
        <v>285</v>
      </c>
      <c r="Q34">
        <v>1</v>
      </c>
      <c r="W34">
        <v>0</v>
      </c>
      <c r="X34">
        <v>-396303788</v>
      </c>
      <c r="Y34">
        <v>16.4</v>
      </c>
      <c r="AA34">
        <v>0</v>
      </c>
      <c r="AB34">
        <v>27.42</v>
      </c>
      <c r="AC34">
        <v>11.6</v>
      </c>
      <c r="AD34">
        <v>0</v>
      </c>
      <c r="AE34">
        <v>0</v>
      </c>
      <c r="AF34">
        <v>27.42</v>
      </c>
      <c r="AG34">
        <v>11.6</v>
      </c>
      <c r="AH34">
        <v>0</v>
      </c>
      <c r="AI34">
        <v>1</v>
      </c>
      <c r="AJ34">
        <v>1</v>
      </c>
      <c r="AK34">
        <v>1</v>
      </c>
      <c r="AL34">
        <v>1</v>
      </c>
      <c r="AN34">
        <v>0</v>
      </c>
      <c r="AO34">
        <v>1</v>
      </c>
      <c r="AP34">
        <v>0</v>
      </c>
      <c r="AQ34">
        <v>0</v>
      </c>
      <c r="AR34">
        <v>0</v>
      </c>
      <c r="AT34">
        <v>16.4</v>
      </c>
      <c r="AV34">
        <v>0</v>
      </c>
      <c r="AW34">
        <v>2</v>
      </c>
      <c r="AX34">
        <v>55669033</v>
      </c>
      <c r="AY34">
        <v>1</v>
      </c>
      <c r="AZ34">
        <v>0</v>
      </c>
      <c r="BA34">
        <v>42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Y34*Source!I36</f>
        <v>2.6239999999999997</v>
      </c>
      <c r="CY34">
        <f>AB34</f>
        <v>27.42</v>
      </c>
      <c r="CZ34">
        <f>AF34</f>
        <v>27.42</v>
      </c>
      <c r="DA34">
        <f>AJ34</f>
        <v>1</v>
      </c>
      <c r="DB34">
        <f t="shared" si="0"/>
        <v>449.69</v>
      </c>
      <c r="DC34">
        <f t="shared" si="1"/>
        <v>190.24</v>
      </c>
    </row>
    <row r="35" spans="1:107" ht="12.75">
      <c r="A35">
        <f>ROW(Source!A36)</f>
        <v>36</v>
      </c>
      <c r="B35">
        <v>55668703</v>
      </c>
      <c r="C35">
        <v>55669023</v>
      </c>
      <c r="D35">
        <v>53642555</v>
      </c>
      <c r="E35">
        <v>1</v>
      </c>
      <c r="F35">
        <v>1</v>
      </c>
      <c r="G35">
        <v>1</v>
      </c>
      <c r="H35">
        <v>3</v>
      </c>
      <c r="I35" t="s">
        <v>313</v>
      </c>
      <c r="J35" t="s">
        <v>314</v>
      </c>
      <c r="K35" t="s">
        <v>315</v>
      </c>
      <c r="L35">
        <v>1339</v>
      </c>
      <c r="N35">
        <v>1007</v>
      </c>
      <c r="O35" t="s">
        <v>305</v>
      </c>
      <c r="P35" t="s">
        <v>305</v>
      </c>
      <c r="Q35">
        <v>1</v>
      </c>
      <c r="W35">
        <v>0</v>
      </c>
      <c r="X35">
        <v>-143474561</v>
      </c>
      <c r="Y35">
        <v>0.443</v>
      </c>
      <c r="AA35">
        <v>2.44</v>
      </c>
      <c r="AB35">
        <v>0</v>
      </c>
      <c r="AC35">
        <v>0</v>
      </c>
      <c r="AD35">
        <v>0</v>
      </c>
      <c r="AE35">
        <v>2.44</v>
      </c>
      <c r="AF35">
        <v>0</v>
      </c>
      <c r="AG35">
        <v>0</v>
      </c>
      <c r="AH35">
        <v>0</v>
      </c>
      <c r="AI35">
        <v>1</v>
      </c>
      <c r="AJ35">
        <v>1</v>
      </c>
      <c r="AK35">
        <v>1</v>
      </c>
      <c r="AL35">
        <v>1</v>
      </c>
      <c r="AN35">
        <v>0</v>
      </c>
      <c r="AO35">
        <v>1</v>
      </c>
      <c r="AP35">
        <v>0</v>
      </c>
      <c r="AQ35">
        <v>0</v>
      </c>
      <c r="AR35">
        <v>0</v>
      </c>
      <c r="AT35">
        <v>0.443</v>
      </c>
      <c r="AV35">
        <v>0</v>
      </c>
      <c r="AW35">
        <v>2</v>
      </c>
      <c r="AX35">
        <v>55669034</v>
      </c>
      <c r="AY35">
        <v>1</v>
      </c>
      <c r="AZ35">
        <v>0</v>
      </c>
      <c r="BA35">
        <v>43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Y35*Source!I36</f>
        <v>0.07088</v>
      </c>
      <c r="CY35">
        <f>AA35</f>
        <v>2.44</v>
      </c>
      <c r="CZ35">
        <f>AE35</f>
        <v>2.44</v>
      </c>
      <c r="DA35">
        <f>AI35</f>
        <v>1</v>
      </c>
      <c r="DB35">
        <f t="shared" si="0"/>
        <v>1.08</v>
      </c>
      <c r="DC35">
        <f t="shared" si="1"/>
        <v>0</v>
      </c>
    </row>
    <row r="36" spans="1:107" ht="12.75">
      <c r="A36">
        <f>ROW(Source!A36)</f>
        <v>36</v>
      </c>
      <c r="B36">
        <v>55668703</v>
      </c>
      <c r="C36">
        <v>55669023</v>
      </c>
      <c r="D36">
        <v>53645548</v>
      </c>
      <c r="E36">
        <v>1</v>
      </c>
      <c r="F36">
        <v>1</v>
      </c>
      <c r="G36">
        <v>1</v>
      </c>
      <c r="H36">
        <v>3</v>
      </c>
      <c r="I36" t="s">
        <v>67</v>
      </c>
      <c r="J36" t="s">
        <v>69</v>
      </c>
      <c r="K36" t="s">
        <v>68</v>
      </c>
      <c r="L36">
        <v>1371</v>
      </c>
      <c r="N36">
        <v>1013</v>
      </c>
      <c r="O36" t="s">
        <v>50</v>
      </c>
      <c r="P36" t="s">
        <v>50</v>
      </c>
      <c r="Q36">
        <v>1</v>
      </c>
      <c r="W36">
        <v>0</v>
      </c>
      <c r="X36">
        <v>1290926497</v>
      </c>
      <c r="Y36">
        <v>9.375</v>
      </c>
      <c r="AA36">
        <v>839.32</v>
      </c>
      <c r="AB36">
        <v>0</v>
      </c>
      <c r="AC36">
        <v>0</v>
      </c>
      <c r="AD36">
        <v>0</v>
      </c>
      <c r="AE36">
        <v>839.32</v>
      </c>
      <c r="AF36">
        <v>0</v>
      </c>
      <c r="AG36">
        <v>0</v>
      </c>
      <c r="AH36">
        <v>0</v>
      </c>
      <c r="AI36">
        <v>1</v>
      </c>
      <c r="AJ36">
        <v>1</v>
      </c>
      <c r="AK36">
        <v>1</v>
      </c>
      <c r="AL36">
        <v>1</v>
      </c>
      <c r="AN36">
        <v>0</v>
      </c>
      <c r="AO36">
        <v>0</v>
      </c>
      <c r="AP36">
        <v>0</v>
      </c>
      <c r="AQ36">
        <v>0</v>
      </c>
      <c r="AR36">
        <v>0</v>
      </c>
      <c r="AT36">
        <v>9.375</v>
      </c>
      <c r="AV36">
        <v>0</v>
      </c>
      <c r="AW36">
        <v>1</v>
      </c>
      <c r="AX36">
        <v>-1</v>
      </c>
      <c r="AY36">
        <v>0</v>
      </c>
      <c r="AZ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Y36*Source!I36</f>
        <v>1.5</v>
      </c>
      <c r="CY36">
        <f>AA36</f>
        <v>839.32</v>
      </c>
      <c r="CZ36">
        <f>AE36</f>
        <v>839.32</v>
      </c>
      <c r="DA36">
        <f>AI36</f>
        <v>1</v>
      </c>
      <c r="DB36">
        <f t="shared" si="0"/>
        <v>7868.63</v>
      </c>
      <c r="DC36">
        <f t="shared" si="1"/>
        <v>0</v>
      </c>
    </row>
    <row r="37" spans="1:107" ht="12.75">
      <c r="A37">
        <f>ROW(Source!A37)</f>
        <v>37</v>
      </c>
      <c r="B37">
        <v>55668704</v>
      </c>
      <c r="C37">
        <v>55669023</v>
      </c>
      <c r="D37">
        <v>53630109</v>
      </c>
      <c r="E37">
        <v>70</v>
      </c>
      <c r="F37">
        <v>1</v>
      </c>
      <c r="G37">
        <v>1</v>
      </c>
      <c r="H37">
        <v>1</v>
      </c>
      <c r="I37" t="s">
        <v>308</v>
      </c>
      <c r="K37" t="s">
        <v>309</v>
      </c>
      <c r="L37">
        <v>1191</v>
      </c>
      <c r="N37">
        <v>1013</v>
      </c>
      <c r="O37" t="s">
        <v>279</v>
      </c>
      <c r="P37" t="s">
        <v>279</v>
      </c>
      <c r="Q37">
        <v>1</v>
      </c>
      <c r="W37">
        <v>0</v>
      </c>
      <c r="X37">
        <v>-1111239348</v>
      </c>
      <c r="Y37">
        <v>17.3</v>
      </c>
      <c r="AA37">
        <v>0</v>
      </c>
      <c r="AB37">
        <v>0</v>
      </c>
      <c r="AC37">
        <v>0</v>
      </c>
      <c r="AD37">
        <v>359.21</v>
      </c>
      <c r="AE37">
        <v>0</v>
      </c>
      <c r="AF37">
        <v>0</v>
      </c>
      <c r="AG37">
        <v>0</v>
      </c>
      <c r="AH37">
        <v>9.62</v>
      </c>
      <c r="AI37">
        <v>1</v>
      </c>
      <c r="AJ37">
        <v>1</v>
      </c>
      <c r="AK37">
        <v>1</v>
      </c>
      <c r="AL37">
        <v>37.34</v>
      </c>
      <c r="AN37">
        <v>0</v>
      </c>
      <c r="AO37">
        <v>1</v>
      </c>
      <c r="AP37">
        <v>0</v>
      </c>
      <c r="AQ37">
        <v>0</v>
      </c>
      <c r="AR37">
        <v>0</v>
      </c>
      <c r="AT37">
        <v>17.3</v>
      </c>
      <c r="AV37">
        <v>1</v>
      </c>
      <c r="AW37">
        <v>2</v>
      </c>
      <c r="AX37">
        <v>55669030</v>
      </c>
      <c r="AY37">
        <v>1</v>
      </c>
      <c r="AZ37">
        <v>0</v>
      </c>
      <c r="BA37">
        <v>45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Y37*Source!I37</f>
        <v>2.7680000000000002</v>
      </c>
      <c r="CY37">
        <f>AD37</f>
        <v>359.21</v>
      </c>
      <c r="CZ37">
        <f>AH37</f>
        <v>9.62</v>
      </c>
      <c r="DA37">
        <f>AL37</f>
        <v>37.34</v>
      </c>
      <c r="DB37">
        <f t="shared" si="0"/>
        <v>166.43</v>
      </c>
      <c r="DC37">
        <f t="shared" si="1"/>
        <v>0</v>
      </c>
    </row>
    <row r="38" spans="1:107" ht="12.75">
      <c r="A38">
        <f>ROW(Source!A37)</f>
        <v>37</v>
      </c>
      <c r="B38">
        <v>55668704</v>
      </c>
      <c r="C38">
        <v>55669023</v>
      </c>
      <c r="D38">
        <v>53630257</v>
      </c>
      <c r="E38">
        <v>70</v>
      </c>
      <c r="F38">
        <v>1</v>
      </c>
      <c r="G38">
        <v>1</v>
      </c>
      <c r="H38">
        <v>1</v>
      </c>
      <c r="I38" t="s">
        <v>280</v>
      </c>
      <c r="K38" t="s">
        <v>281</v>
      </c>
      <c r="L38">
        <v>1191</v>
      </c>
      <c r="N38">
        <v>1013</v>
      </c>
      <c r="O38" t="s">
        <v>279</v>
      </c>
      <c r="P38" t="s">
        <v>279</v>
      </c>
      <c r="Q38">
        <v>1</v>
      </c>
      <c r="W38">
        <v>0</v>
      </c>
      <c r="X38">
        <v>-1417349443</v>
      </c>
      <c r="Y38">
        <v>18.2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1</v>
      </c>
      <c r="AJ38">
        <v>1</v>
      </c>
      <c r="AK38">
        <v>37.34</v>
      </c>
      <c r="AL38">
        <v>1</v>
      </c>
      <c r="AN38">
        <v>0</v>
      </c>
      <c r="AO38">
        <v>1</v>
      </c>
      <c r="AP38">
        <v>0</v>
      </c>
      <c r="AQ38">
        <v>0</v>
      </c>
      <c r="AR38">
        <v>0</v>
      </c>
      <c r="AT38">
        <v>18.2</v>
      </c>
      <c r="AV38">
        <v>2</v>
      </c>
      <c r="AW38">
        <v>2</v>
      </c>
      <c r="AX38">
        <v>55669031</v>
      </c>
      <c r="AY38">
        <v>1</v>
      </c>
      <c r="AZ38">
        <v>0</v>
      </c>
      <c r="BA38">
        <v>46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Y38*Source!I37</f>
        <v>2.912</v>
      </c>
      <c r="CY38">
        <f>AD38</f>
        <v>0</v>
      </c>
      <c r="CZ38">
        <f>AH38</f>
        <v>0</v>
      </c>
      <c r="DA38">
        <f>AL38</f>
        <v>1</v>
      </c>
      <c r="DB38">
        <f t="shared" si="0"/>
        <v>0</v>
      </c>
      <c r="DC38">
        <f t="shared" si="1"/>
        <v>0</v>
      </c>
    </row>
    <row r="39" spans="1:107" ht="12.75">
      <c r="A39">
        <f>ROW(Source!A37)</f>
        <v>37</v>
      </c>
      <c r="B39">
        <v>55668704</v>
      </c>
      <c r="C39">
        <v>55669023</v>
      </c>
      <c r="D39">
        <v>53792927</v>
      </c>
      <c r="E39">
        <v>1</v>
      </c>
      <c r="F39">
        <v>1</v>
      </c>
      <c r="G39">
        <v>1</v>
      </c>
      <c r="H39">
        <v>2</v>
      </c>
      <c r="I39" t="s">
        <v>289</v>
      </c>
      <c r="J39" t="s">
        <v>290</v>
      </c>
      <c r="K39" t="s">
        <v>291</v>
      </c>
      <c r="L39">
        <v>1367</v>
      </c>
      <c r="N39">
        <v>1011</v>
      </c>
      <c r="O39" t="s">
        <v>285</v>
      </c>
      <c r="P39" t="s">
        <v>285</v>
      </c>
      <c r="Q39">
        <v>1</v>
      </c>
      <c r="W39">
        <v>0</v>
      </c>
      <c r="X39">
        <v>509054691</v>
      </c>
      <c r="Y39">
        <v>1.8</v>
      </c>
      <c r="AA39">
        <v>0</v>
      </c>
      <c r="AB39">
        <v>870</v>
      </c>
      <c r="AC39">
        <v>433.14</v>
      </c>
      <c r="AD39">
        <v>0</v>
      </c>
      <c r="AE39">
        <v>0</v>
      </c>
      <c r="AF39">
        <v>65.71</v>
      </c>
      <c r="AG39">
        <v>11.6</v>
      </c>
      <c r="AH39">
        <v>0</v>
      </c>
      <c r="AI39">
        <v>1</v>
      </c>
      <c r="AJ39">
        <v>13.24</v>
      </c>
      <c r="AK39">
        <v>37.34</v>
      </c>
      <c r="AL39">
        <v>1</v>
      </c>
      <c r="AN39">
        <v>0</v>
      </c>
      <c r="AO39">
        <v>1</v>
      </c>
      <c r="AP39">
        <v>0</v>
      </c>
      <c r="AQ39">
        <v>0</v>
      </c>
      <c r="AR39">
        <v>0</v>
      </c>
      <c r="AT39">
        <v>1.8</v>
      </c>
      <c r="AV39">
        <v>0</v>
      </c>
      <c r="AW39">
        <v>2</v>
      </c>
      <c r="AX39">
        <v>55669032</v>
      </c>
      <c r="AY39">
        <v>1</v>
      </c>
      <c r="AZ39">
        <v>0</v>
      </c>
      <c r="BA39">
        <v>47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Y39*Source!I37</f>
        <v>0.28800000000000003</v>
      </c>
      <c r="CY39">
        <f>AB39</f>
        <v>870</v>
      </c>
      <c r="CZ39">
        <f>AF39</f>
        <v>65.71</v>
      </c>
      <c r="DA39">
        <f>AJ39</f>
        <v>13.24</v>
      </c>
      <c r="DB39">
        <f t="shared" si="0"/>
        <v>118.28</v>
      </c>
      <c r="DC39">
        <f t="shared" si="1"/>
        <v>20.88</v>
      </c>
    </row>
    <row r="40" spans="1:107" ht="12.75">
      <c r="A40">
        <f>ROW(Source!A37)</f>
        <v>37</v>
      </c>
      <c r="B40">
        <v>55668704</v>
      </c>
      <c r="C40">
        <v>55669023</v>
      </c>
      <c r="D40">
        <v>53793708</v>
      </c>
      <c r="E40">
        <v>1</v>
      </c>
      <c r="F40">
        <v>1</v>
      </c>
      <c r="G40">
        <v>1</v>
      </c>
      <c r="H40">
        <v>2</v>
      </c>
      <c r="I40" t="s">
        <v>310</v>
      </c>
      <c r="J40" t="s">
        <v>311</v>
      </c>
      <c r="K40" t="s">
        <v>312</v>
      </c>
      <c r="L40">
        <v>1367</v>
      </c>
      <c r="N40">
        <v>1011</v>
      </c>
      <c r="O40" t="s">
        <v>285</v>
      </c>
      <c r="P40" t="s">
        <v>285</v>
      </c>
      <c r="Q40">
        <v>1</v>
      </c>
      <c r="W40">
        <v>0</v>
      </c>
      <c r="X40">
        <v>-396303788</v>
      </c>
      <c r="Y40">
        <v>16.4</v>
      </c>
      <c r="AA40">
        <v>0</v>
      </c>
      <c r="AB40">
        <v>363.04</v>
      </c>
      <c r="AC40">
        <v>433.14</v>
      </c>
      <c r="AD40">
        <v>0</v>
      </c>
      <c r="AE40">
        <v>0</v>
      </c>
      <c r="AF40">
        <v>27.42</v>
      </c>
      <c r="AG40">
        <v>11.6</v>
      </c>
      <c r="AH40">
        <v>0</v>
      </c>
      <c r="AI40">
        <v>1</v>
      </c>
      <c r="AJ40">
        <v>13.24</v>
      </c>
      <c r="AK40">
        <v>37.34</v>
      </c>
      <c r="AL40">
        <v>1</v>
      </c>
      <c r="AN40">
        <v>0</v>
      </c>
      <c r="AO40">
        <v>1</v>
      </c>
      <c r="AP40">
        <v>0</v>
      </c>
      <c r="AQ40">
        <v>0</v>
      </c>
      <c r="AR40">
        <v>0</v>
      </c>
      <c r="AT40">
        <v>16.4</v>
      </c>
      <c r="AV40">
        <v>0</v>
      </c>
      <c r="AW40">
        <v>2</v>
      </c>
      <c r="AX40">
        <v>55669033</v>
      </c>
      <c r="AY40">
        <v>1</v>
      </c>
      <c r="AZ40">
        <v>0</v>
      </c>
      <c r="BA40">
        <v>48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Y40*Source!I37</f>
        <v>2.6239999999999997</v>
      </c>
      <c r="CY40">
        <f>AB40</f>
        <v>363.04</v>
      </c>
      <c r="CZ40">
        <f>AF40</f>
        <v>27.42</v>
      </c>
      <c r="DA40">
        <f>AJ40</f>
        <v>13.24</v>
      </c>
      <c r="DB40">
        <f t="shared" si="0"/>
        <v>449.69</v>
      </c>
      <c r="DC40">
        <f t="shared" si="1"/>
        <v>190.24</v>
      </c>
    </row>
    <row r="41" spans="1:107" ht="12.75">
      <c r="A41">
        <f>ROW(Source!A37)</f>
        <v>37</v>
      </c>
      <c r="B41">
        <v>55668704</v>
      </c>
      <c r="C41">
        <v>55669023</v>
      </c>
      <c r="D41">
        <v>53642555</v>
      </c>
      <c r="E41">
        <v>1</v>
      </c>
      <c r="F41">
        <v>1</v>
      </c>
      <c r="G41">
        <v>1</v>
      </c>
      <c r="H41">
        <v>3</v>
      </c>
      <c r="I41" t="s">
        <v>313</v>
      </c>
      <c r="J41" t="s">
        <v>314</v>
      </c>
      <c r="K41" t="s">
        <v>315</v>
      </c>
      <c r="L41">
        <v>1339</v>
      </c>
      <c r="N41">
        <v>1007</v>
      </c>
      <c r="O41" t="s">
        <v>305</v>
      </c>
      <c r="P41" t="s">
        <v>305</v>
      </c>
      <c r="Q41">
        <v>1</v>
      </c>
      <c r="W41">
        <v>0</v>
      </c>
      <c r="X41">
        <v>-143474561</v>
      </c>
      <c r="Y41">
        <v>0.443</v>
      </c>
      <c r="AA41">
        <v>16.4</v>
      </c>
      <c r="AB41">
        <v>0</v>
      </c>
      <c r="AC41">
        <v>0</v>
      </c>
      <c r="AD41">
        <v>0</v>
      </c>
      <c r="AE41">
        <v>2.44</v>
      </c>
      <c r="AF41">
        <v>0</v>
      </c>
      <c r="AG41">
        <v>0</v>
      </c>
      <c r="AH41">
        <v>0</v>
      </c>
      <c r="AI41">
        <v>6.72</v>
      </c>
      <c r="AJ41">
        <v>1</v>
      </c>
      <c r="AK41">
        <v>1</v>
      </c>
      <c r="AL41">
        <v>1</v>
      </c>
      <c r="AN41">
        <v>0</v>
      </c>
      <c r="AO41">
        <v>1</v>
      </c>
      <c r="AP41">
        <v>0</v>
      </c>
      <c r="AQ41">
        <v>0</v>
      </c>
      <c r="AR41">
        <v>0</v>
      </c>
      <c r="AT41">
        <v>0.443</v>
      </c>
      <c r="AV41">
        <v>0</v>
      </c>
      <c r="AW41">
        <v>2</v>
      </c>
      <c r="AX41">
        <v>55669034</v>
      </c>
      <c r="AY41">
        <v>1</v>
      </c>
      <c r="AZ41">
        <v>0</v>
      </c>
      <c r="BA41">
        <v>49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Y41*Source!I37</f>
        <v>0.07088</v>
      </c>
      <c r="CY41">
        <f>AA41</f>
        <v>16.4</v>
      </c>
      <c r="CZ41">
        <f>AE41</f>
        <v>2.44</v>
      </c>
      <c r="DA41">
        <f>AI41</f>
        <v>6.72</v>
      </c>
      <c r="DB41">
        <f t="shared" si="0"/>
        <v>1.08</v>
      </c>
      <c r="DC41">
        <f t="shared" si="1"/>
        <v>0</v>
      </c>
    </row>
    <row r="42" spans="1:107" ht="12.75">
      <c r="A42">
        <f>ROW(Source!A37)</f>
        <v>37</v>
      </c>
      <c r="B42">
        <v>55668704</v>
      </c>
      <c r="C42">
        <v>55669023</v>
      </c>
      <c r="D42">
        <v>53645548</v>
      </c>
      <c r="E42">
        <v>1</v>
      </c>
      <c r="F42">
        <v>1</v>
      </c>
      <c r="G42">
        <v>1</v>
      </c>
      <c r="H42">
        <v>3</v>
      </c>
      <c r="I42" t="s">
        <v>67</v>
      </c>
      <c r="J42" t="s">
        <v>69</v>
      </c>
      <c r="K42" t="s">
        <v>68</v>
      </c>
      <c r="L42">
        <v>1371</v>
      </c>
      <c r="N42">
        <v>1013</v>
      </c>
      <c r="O42" t="s">
        <v>50</v>
      </c>
      <c r="P42" t="s">
        <v>50</v>
      </c>
      <c r="Q42">
        <v>1</v>
      </c>
      <c r="W42">
        <v>0</v>
      </c>
      <c r="X42">
        <v>1290926497</v>
      </c>
      <c r="Y42">
        <v>9.375</v>
      </c>
      <c r="AA42">
        <v>5640.23</v>
      </c>
      <c r="AB42">
        <v>0</v>
      </c>
      <c r="AC42">
        <v>0</v>
      </c>
      <c r="AD42">
        <v>0</v>
      </c>
      <c r="AE42">
        <v>839.32</v>
      </c>
      <c r="AF42">
        <v>0</v>
      </c>
      <c r="AG42">
        <v>0</v>
      </c>
      <c r="AH42">
        <v>0</v>
      </c>
      <c r="AI42">
        <v>6.72</v>
      </c>
      <c r="AJ42">
        <v>1</v>
      </c>
      <c r="AK42">
        <v>1</v>
      </c>
      <c r="AL42">
        <v>1</v>
      </c>
      <c r="AN42">
        <v>0</v>
      </c>
      <c r="AO42">
        <v>0</v>
      </c>
      <c r="AP42">
        <v>0</v>
      </c>
      <c r="AQ42">
        <v>0</v>
      </c>
      <c r="AR42">
        <v>0</v>
      </c>
      <c r="AT42">
        <v>9.375</v>
      </c>
      <c r="AV42">
        <v>0</v>
      </c>
      <c r="AW42">
        <v>1</v>
      </c>
      <c r="AX42">
        <v>-1</v>
      </c>
      <c r="AY42">
        <v>0</v>
      </c>
      <c r="AZ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Y42*Source!I37</f>
        <v>1.5</v>
      </c>
      <c r="CY42">
        <f>AA42</f>
        <v>5640.23</v>
      </c>
      <c r="CZ42">
        <f>AE42</f>
        <v>839.32</v>
      </c>
      <c r="DA42">
        <f>AI42</f>
        <v>6.72</v>
      </c>
      <c r="DB42">
        <f t="shared" si="0"/>
        <v>7868.63</v>
      </c>
      <c r="DC42">
        <f t="shared" si="1"/>
        <v>0</v>
      </c>
    </row>
    <row r="43" spans="1:107" ht="12.75">
      <c r="A43">
        <f>ROW(Source!A40)</f>
        <v>40</v>
      </c>
      <c r="B43">
        <v>55668703</v>
      </c>
      <c r="C43">
        <v>55669037</v>
      </c>
      <c r="D43">
        <v>53630073</v>
      </c>
      <c r="E43">
        <v>70</v>
      </c>
      <c r="F43">
        <v>1</v>
      </c>
      <c r="G43">
        <v>1</v>
      </c>
      <c r="H43">
        <v>1</v>
      </c>
      <c r="I43" t="s">
        <v>306</v>
      </c>
      <c r="K43" t="s">
        <v>307</v>
      </c>
      <c r="L43">
        <v>1191</v>
      </c>
      <c r="N43">
        <v>1013</v>
      </c>
      <c r="O43" t="s">
        <v>279</v>
      </c>
      <c r="P43" t="s">
        <v>279</v>
      </c>
      <c r="Q43">
        <v>1</v>
      </c>
      <c r="W43">
        <v>0</v>
      </c>
      <c r="X43">
        <v>-1759674247</v>
      </c>
      <c r="Y43">
        <v>332.34999999999997</v>
      </c>
      <c r="AA43">
        <v>0</v>
      </c>
      <c r="AB43">
        <v>0</v>
      </c>
      <c r="AC43">
        <v>0</v>
      </c>
      <c r="AD43">
        <v>8.86</v>
      </c>
      <c r="AE43">
        <v>0</v>
      </c>
      <c r="AF43">
        <v>0</v>
      </c>
      <c r="AG43">
        <v>0</v>
      </c>
      <c r="AH43">
        <v>8.86</v>
      </c>
      <c r="AI43">
        <v>1</v>
      </c>
      <c r="AJ43">
        <v>1</v>
      </c>
      <c r="AK43">
        <v>1</v>
      </c>
      <c r="AL43">
        <v>1</v>
      </c>
      <c r="AN43">
        <v>0</v>
      </c>
      <c r="AO43">
        <v>1</v>
      </c>
      <c r="AP43">
        <v>1</v>
      </c>
      <c r="AQ43">
        <v>0</v>
      </c>
      <c r="AR43">
        <v>0</v>
      </c>
      <c r="AT43">
        <v>289</v>
      </c>
      <c r="AU43" t="s">
        <v>73</v>
      </c>
      <c r="AV43">
        <v>1</v>
      </c>
      <c r="AW43">
        <v>2</v>
      </c>
      <c r="AX43">
        <v>55669044</v>
      </c>
      <c r="AY43">
        <v>1</v>
      </c>
      <c r="AZ43">
        <v>0</v>
      </c>
      <c r="BA43">
        <v>51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Y43*Source!I40</f>
        <v>3.3234999999999997</v>
      </c>
      <c r="CY43">
        <f>AD43</f>
        <v>8.86</v>
      </c>
      <c r="CZ43">
        <f>AH43</f>
        <v>8.86</v>
      </c>
      <c r="DA43">
        <f>AL43</f>
        <v>1</v>
      </c>
      <c r="DB43">
        <f>ROUND((ROUND(AT43*CZ43,2)*ROUND(1.15,7)),2)</f>
        <v>2944.62</v>
      </c>
      <c r="DC43">
        <f>ROUND((ROUND(AT43*AG43,2)*ROUND(1.15,7)),2)</f>
        <v>0</v>
      </c>
    </row>
    <row r="44" spans="1:107" ht="12.75">
      <c r="A44">
        <f>ROW(Source!A40)</f>
        <v>40</v>
      </c>
      <c r="B44">
        <v>55668703</v>
      </c>
      <c r="C44">
        <v>55669037</v>
      </c>
      <c r="D44">
        <v>53630257</v>
      </c>
      <c r="E44">
        <v>70</v>
      </c>
      <c r="F44">
        <v>1</v>
      </c>
      <c r="G44">
        <v>1</v>
      </c>
      <c r="H44">
        <v>1</v>
      </c>
      <c r="I44" t="s">
        <v>280</v>
      </c>
      <c r="K44" t="s">
        <v>281</v>
      </c>
      <c r="L44">
        <v>1191</v>
      </c>
      <c r="N44">
        <v>1013</v>
      </c>
      <c r="O44" t="s">
        <v>279</v>
      </c>
      <c r="P44" t="s">
        <v>279</v>
      </c>
      <c r="Q44">
        <v>1</v>
      </c>
      <c r="W44">
        <v>0</v>
      </c>
      <c r="X44">
        <v>-1417349443</v>
      </c>
      <c r="Y44">
        <v>0.7374999999999999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1</v>
      </c>
      <c r="AJ44">
        <v>1</v>
      </c>
      <c r="AK44">
        <v>1</v>
      </c>
      <c r="AL44">
        <v>1</v>
      </c>
      <c r="AN44">
        <v>0</v>
      </c>
      <c r="AO44">
        <v>1</v>
      </c>
      <c r="AP44">
        <v>1</v>
      </c>
      <c r="AQ44">
        <v>0</v>
      </c>
      <c r="AR44">
        <v>0</v>
      </c>
      <c r="AT44">
        <v>0.59</v>
      </c>
      <c r="AU44" t="s">
        <v>72</v>
      </c>
      <c r="AV44">
        <v>2</v>
      </c>
      <c r="AW44">
        <v>2</v>
      </c>
      <c r="AX44">
        <v>55669045</v>
      </c>
      <c r="AY44">
        <v>1</v>
      </c>
      <c r="AZ44">
        <v>0</v>
      </c>
      <c r="BA44">
        <v>52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Y44*Source!I40</f>
        <v>0.007375</v>
      </c>
      <c r="CY44">
        <f>AD44</f>
        <v>0</v>
      </c>
      <c r="CZ44">
        <f>AH44</f>
        <v>0</v>
      </c>
      <c r="DA44">
        <f>AL44</f>
        <v>1</v>
      </c>
      <c r="DB44">
        <f>ROUND((ROUND(AT44*CZ44,2)*ROUND(1.25,7)),2)</f>
        <v>0</v>
      </c>
      <c r="DC44">
        <f>ROUND((ROUND(AT44*AG44,2)*ROUND(1.25,7)),2)</f>
        <v>0</v>
      </c>
    </row>
    <row r="45" spans="1:107" ht="12.75">
      <c r="A45">
        <f>ROW(Source!A40)</f>
        <v>40</v>
      </c>
      <c r="B45">
        <v>55668703</v>
      </c>
      <c r="C45">
        <v>55669037</v>
      </c>
      <c r="D45">
        <v>53791997</v>
      </c>
      <c r="E45">
        <v>1</v>
      </c>
      <c r="F45">
        <v>1</v>
      </c>
      <c r="G45">
        <v>1</v>
      </c>
      <c r="H45">
        <v>2</v>
      </c>
      <c r="I45" t="s">
        <v>282</v>
      </c>
      <c r="J45" t="s">
        <v>283</v>
      </c>
      <c r="K45" t="s">
        <v>284</v>
      </c>
      <c r="L45">
        <v>1367</v>
      </c>
      <c r="N45">
        <v>1011</v>
      </c>
      <c r="O45" t="s">
        <v>285</v>
      </c>
      <c r="P45" t="s">
        <v>285</v>
      </c>
      <c r="Q45">
        <v>1</v>
      </c>
      <c r="W45">
        <v>0</v>
      </c>
      <c r="X45">
        <v>-430484415</v>
      </c>
      <c r="Y45">
        <v>0.3125</v>
      </c>
      <c r="AA45">
        <v>0</v>
      </c>
      <c r="AB45">
        <v>115.4</v>
      </c>
      <c r="AC45">
        <v>13.5</v>
      </c>
      <c r="AD45">
        <v>0</v>
      </c>
      <c r="AE45">
        <v>0</v>
      </c>
      <c r="AF45">
        <v>115.4</v>
      </c>
      <c r="AG45">
        <v>13.5</v>
      </c>
      <c r="AH45">
        <v>0</v>
      </c>
      <c r="AI45">
        <v>1</v>
      </c>
      <c r="AJ45">
        <v>1</v>
      </c>
      <c r="AK45">
        <v>1</v>
      </c>
      <c r="AL45">
        <v>1</v>
      </c>
      <c r="AN45">
        <v>0</v>
      </c>
      <c r="AO45">
        <v>1</v>
      </c>
      <c r="AP45">
        <v>1</v>
      </c>
      <c r="AQ45">
        <v>0</v>
      </c>
      <c r="AR45">
        <v>0</v>
      </c>
      <c r="AT45">
        <v>0.25</v>
      </c>
      <c r="AU45" t="s">
        <v>72</v>
      </c>
      <c r="AV45">
        <v>0</v>
      </c>
      <c r="AW45">
        <v>2</v>
      </c>
      <c r="AX45">
        <v>55669046</v>
      </c>
      <c r="AY45">
        <v>1</v>
      </c>
      <c r="AZ45">
        <v>0</v>
      </c>
      <c r="BA45">
        <v>53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Y45*Source!I40</f>
        <v>0.003125</v>
      </c>
      <c r="CY45">
        <f>AB45</f>
        <v>115.4</v>
      </c>
      <c r="CZ45">
        <f>AF45</f>
        <v>115.4</v>
      </c>
      <c r="DA45">
        <f>AJ45</f>
        <v>1</v>
      </c>
      <c r="DB45">
        <f>ROUND((ROUND(AT45*CZ45,2)*ROUND(1.25,7)),2)</f>
        <v>36.06</v>
      </c>
      <c r="DC45">
        <f>ROUND((ROUND(AT45*AG45,2)*ROUND(1.25,7)),2)</f>
        <v>4.23</v>
      </c>
    </row>
    <row r="46" spans="1:107" ht="12.75">
      <c r="A46">
        <f>ROW(Source!A40)</f>
        <v>40</v>
      </c>
      <c r="B46">
        <v>55668703</v>
      </c>
      <c r="C46">
        <v>55669037</v>
      </c>
      <c r="D46">
        <v>53792927</v>
      </c>
      <c r="E46">
        <v>1</v>
      </c>
      <c r="F46">
        <v>1</v>
      </c>
      <c r="G46">
        <v>1</v>
      </c>
      <c r="H46">
        <v>2</v>
      </c>
      <c r="I46" t="s">
        <v>289</v>
      </c>
      <c r="J46" t="s">
        <v>290</v>
      </c>
      <c r="K46" t="s">
        <v>291</v>
      </c>
      <c r="L46">
        <v>1367</v>
      </c>
      <c r="N46">
        <v>1011</v>
      </c>
      <c r="O46" t="s">
        <v>285</v>
      </c>
      <c r="P46" t="s">
        <v>285</v>
      </c>
      <c r="Q46">
        <v>1</v>
      </c>
      <c r="W46">
        <v>0</v>
      </c>
      <c r="X46">
        <v>509054691</v>
      </c>
      <c r="Y46">
        <v>0.42500000000000004</v>
      </c>
      <c r="AA46">
        <v>0</v>
      </c>
      <c r="AB46">
        <v>65.71</v>
      </c>
      <c r="AC46">
        <v>11.6</v>
      </c>
      <c r="AD46">
        <v>0</v>
      </c>
      <c r="AE46">
        <v>0</v>
      </c>
      <c r="AF46">
        <v>65.71</v>
      </c>
      <c r="AG46">
        <v>11.6</v>
      </c>
      <c r="AH46">
        <v>0</v>
      </c>
      <c r="AI46">
        <v>1</v>
      </c>
      <c r="AJ46">
        <v>1</v>
      </c>
      <c r="AK46">
        <v>1</v>
      </c>
      <c r="AL46">
        <v>1</v>
      </c>
      <c r="AN46">
        <v>0</v>
      </c>
      <c r="AO46">
        <v>1</v>
      </c>
      <c r="AP46">
        <v>1</v>
      </c>
      <c r="AQ46">
        <v>0</v>
      </c>
      <c r="AR46">
        <v>0</v>
      </c>
      <c r="AT46">
        <v>0.34</v>
      </c>
      <c r="AU46" t="s">
        <v>72</v>
      </c>
      <c r="AV46">
        <v>0</v>
      </c>
      <c r="AW46">
        <v>2</v>
      </c>
      <c r="AX46">
        <v>55669047</v>
      </c>
      <c r="AY46">
        <v>1</v>
      </c>
      <c r="AZ46">
        <v>0</v>
      </c>
      <c r="BA46">
        <v>54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Y46*Source!I40</f>
        <v>0.00425</v>
      </c>
      <c r="CY46">
        <f>AB46</f>
        <v>65.71</v>
      </c>
      <c r="CZ46">
        <f>AF46</f>
        <v>65.71</v>
      </c>
      <c r="DA46">
        <f>AJ46</f>
        <v>1</v>
      </c>
      <c r="DB46">
        <f>ROUND((ROUND(AT46*CZ46,2)*ROUND(1.25,7)),2)</f>
        <v>27.93</v>
      </c>
      <c r="DC46">
        <f>ROUND((ROUND(AT46*AG46,2)*ROUND(1.25,7)),2)</f>
        <v>4.93</v>
      </c>
    </row>
    <row r="47" spans="1:107" ht="12.75">
      <c r="A47">
        <f>ROW(Source!A40)</f>
        <v>40</v>
      </c>
      <c r="B47">
        <v>55668703</v>
      </c>
      <c r="C47">
        <v>55669037</v>
      </c>
      <c r="D47">
        <v>53659482</v>
      </c>
      <c r="E47">
        <v>1</v>
      </c>
      <c r="F47">
        <v>1</v>
      </c>
      <c r="G47">
        <v>1</v>
      </c>
      <c r="H47">
        <v>3</v>
      </c>
      <c r="I47" t="s">
        <v>48</v>
      </c>
      <c r="J47" t="s">
        <v>51</v>
      </c>
      <c r="K47" t="s">
        <v>49</v>
      </c>
      <c r="L47">
        <v>1371</v>
      </c>
      <c r="N47">
        <v>1013</v>
      </c>
      <c r="O47" t="s">
        <v>50</v>
      </c>
      <c r="P47" t="s">
        <v>50</v>
      </c>
      <c r="Q47">
        <v>1</v>
      </c>
      <c r="W47">
        <v>0</v>
      </c>
      <c r="X47">
        <v>1897660979</v>
      </c>
      <c r="Y47">
        <v>0.01</v>
      </c>
      <c r="AA47">
        <v>346</v>
      </c>
      <c r="AB47">
        <v>0</v>
      </c>
      <c r="AC47">
        <v>0</v>
      </c>
      <c r="AD47">
        <v>0</v>
      </c>
      <c r="AE47">
        <v>346</v>
      </c>
      <c r="AF47">
        <v>0</v>
      </c>
      <c r="AG47">
        <v>0</v>
      </c>
      <c r="AH47">
        <v>0</v>
      </c>
      <c r="AI47">
        <v>1</v>
      </c>
      <c r="AJ47">
        <v>1</v>
      </c>
      <c r="AK47">
        <v>1</v>
      </c>
      <c r="AL47">
        <v>1</v>
      </c>
      <c r="AN47">
        <v>0</v>
      </c>
      <c r="AO47">
        <v>1</v>
      </c>
      <c r="AP47">
        <v>0</v>
      </c>
      <c r="AQ47">
        <v>0</v>
      </c>
      <c r="AR47">
        <v>0</v>
      </c>
      <c r="AT47">
        <v>0.01</v>
      </c>
      <c r="AV47">
        <v>0</v>
      </c>
      <c r="AW47">
        <v>2</v>
      </c>
      <c r="AX47">
        <v>55669048</v>
      </c>
      <c r="AY47">
        <v>1</v>
      </c>
      <c r="AZ47">
        <v>0</v>
      </c>
      <c r="BA47">
        <v>55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Y47*Source!I40</f>
        <v>0.0001</v>
      </c>
      <c r="CY47">
        <f>AA47</f>
        <v>346</v>
      </c>
      <c r="CZ47">
        <f>AE47</f>
        <v>346</v>
      </c>
      <c r="DA47">
        <f>AI47</f>
        <v>1</v>
      </c>
      <c r="DB47">
        <f>ROUND(ROUND(AT47*CZ47,2),2)</f>
        <v>3.46</v>
      </c>
      <c r="DC47">
        <f>ROUND(ROUND(AT47*AG47,2),2)</f>
        <v>0</v>
      </c>
    </row>
    <row r="48" spans="1:107" ht="12.75">
      <c r="A48">
        <f>ROW(Source!A40)</f>
        <v>40</v>
      </c>
      <c r="B48">
        <v>55668703</v>
      </c>
      <c r="C48">
        <v>55669037</v>
      </c>
      <c r="D48">
        <v>53662892</v>
      </c>
      <c r="E48">
        <v>1</v>
      </c>
      <c r="F48">
        <v>1</v>
      </c>
      <c r="G48">
        <v>1</v>
      </c>
      <c r="H48">
        <v>3</v>
      </c>
      <c r="I48" t="s">
        <v>53</v>
      </c>
      <c r="J48" t="s">
        <v>55</v>
      </c>
      <c r="K48" t="s">
        <v>54</v>
      </c>
      <c r="L48">
        <v>1348</v>
      </c>
      <c r="N48">
        <v>1009</v>
      </c>
      <c r="O48" t="s">
        <v>41</v>
      </c>
      <c r="P48" t="s">
        <v>41</v>
      </c>
      <c r="Q48">
        <v>1000</v>
      </c>
      <c r="W48">
        <v>0</v>
      </c>
      <c r="X48">
        <v>-1788787296</v>
      </c>
      <c r="Y48">
        <v>1</v>
      </c>
      <c r="AA48">
        <v>10100</v>
      </c>
      <c r="AB48">
        <v>0</v>
      </c>
      <c r="AC48">
        <v>0</v>
      </c>
      <c r="AD48">
        <v>0</v>
      </c>
      <c r="AE48">
        <v>10100</v>
      </c>
      <c r="AF48">
        <v>0</v>
      </c>
      <c r="AG48">
        <v>0</v>
      </c>
      <c r="AH48">
        <v>0</v>
      </c>
      <c r="AI48">
        <v>1</v>
      </c>
      <c r="AJ48">
        <v>1</v>
      </c>
      <c r="AK48">
        <v>1</v>
      </c>
      <c r="AL48">
        <v>1</v>
      </c>
      <c r="AN48">
        <v>0</v>
      </c>
      <c r="AO48">
        <v>1</v>
      </c>
      <c r="AP48">
        <v>0</v>
      </c>
      <c r="AQ48">
        <v>0</v>
      </c>
      <c r="AR48">
        <v>0</v>
      </c>
      <c r="AT48">
        <v>1</v>
      </c>
      <c r="AV48">
        <v>0</v>
      </c>
      <c r="AW48">
        <v>2</v>
      </c>
      <c r="AX48">
        <v>55669049</v>
      </c>
      <c r="AY48">
        <v>1</v>
      </c>
      <c r="AZ48">
        <v>0</v>
      </c>
      <c r="BA48">
        <v>56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Y48*Source!I40</f>
        <v>0.01</v>
      </c>
      <c r="CY48">
        <f>AA48</f>
        <v>10100</v>
      </c>
      <c r="CZ48">
        <f>AE48</f>
        <v>10100</v>
      </c>
      <c r="DA48">
        <f>AI48</f>
        <v>1</v>
      </c>
      <c r="DB48">
        <f>ROUND(ROUND(AT48*CZ48,2),2)</f>
        <v>10100</v>
      </c>
      <c r="DC48">
        <f>ROUND(ROUND(AT48*AG48,2),2)</f>
        <v>0</v>
      </c>
    </row>
    <row r="49" spans="1:107" ht="12.75">
      <c r="A49">
        <f>ROW(Source!A41)</f>
        <v>41</v>
      </c>
      <c r="B49">
        <v>55668704</v>
      </c>
      <c r="C49">
        <v>55669037</v>
      </c>
      <c r="D49">
        <v>53630073</v>
      </c>
      <c r="E49">
        <v>70</v>
      </c>
      <c r="F49">
        <v>1</v>
      </c>
      <c r="G49">
        <v>1</v>
      </c>
      <c r="H49">
        <v>1</v>
      </c>
      <c r="I49" t="s">
        <v>306</v>
      </c>
      <c r="K49" t="s">
        <v>307</v>
      </c>
      <c r="L49">
        <v>1191</v>
      </c>
      <c r="N49">
        <v>1013</v>
      </c>
      <c r="O49" t="s">
        <v>279</v>
      </c>
      <c r="P49" t="s">
        <v>279</v>
      </c>
      <c r="Q49">
        <v>1</v>
      </c>
      <c r="W49">
        <v>0</v>
      </c>
      <c r="X49">
        <v>-1759674247</v>
      </c>
      <c r="Y49">
        <v>332.34999999999997</v>
      </c>
      <c r="AA49">
        <v>0</v>
      </c>
      <c r="AB49">
        <v>0</v>
      </c>
      <c r="AC49">
        <v>0</v>
      </c>
      <c r="AD49">
        <v>330.83</v>
      </c>
      <c r="AE49">
        <v>0</v>
      </c>
      <c r="AF49">
        <v>0</v>
      </c>
      <c r="AG49">
        <v>0</v>
      </c>
      <c r="AH49">
        <v>8.86</v>
      </c>
      <c r="AI49">
        <v>1</v>
      </c>
      <c r="AJ49">
        <v>1</v>
      </c>
      <c r="AK49">
        <v>1</v>
      </c>
      <c r="AL49">
        <v>37.34</v>
      </c>
      <c r="AN49">
        <v>0</v>
      </c>
      <c r="AO49">
        <v>1</v>
      </c>
      <c r="AP49">
        <v>1</v>
      </c>
      <c r="AQ49">
        <v>0</v>
      </c>
      <c r="AR49">
        <v>0</v>
      </c>
      <c r="AT49">
        <v>289</v>
      </c>
      <c r="AU49" t="s">
        <v>73</v>
      </c>
      <c r="AV49">
        <v>1</v>
      </c>
      <c r="AW49">
        <v>2</v>
      </c>
      <c r="AX49">
        <v>55669044</v>
      </c>
      <c r="AY49">
        <v>1</v>
      </c>
      <c r="AZ49">
        <v>0</v>
      </c>
      <c r="BA49">
        <v>57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Y49*Source!I41</f>
        <v>3.3234999999999997</v>
      </c>
      <c r="CY49">
        <f>AD49</f>
        <v>330.83</v>
      </c>
      <c r="CZ49">
        <f>AH49</f>
        <v>8.86</v>
      </c>
      <c r="DA49">
        <f>AL49</f>
        <v>37.34</v>
      </c>
      <c r="DB49">
        <f>ROUND((ROUND(AT49*CZ49,2)*ROUND(1.15,7)),2)</f>
        <v>2944.62</v>
      </c>
      <c r="DC49">
        <f>ROUND((ROUND(AT49*AG49,2)*ROUND(1.15,7)),2)</f>
        <v>0</v>
      </c>
    </row>
    <row r="50" spans="1:107" ht="12.75">
      <c r="A50">
        <f>ROW(Source!A41)</f>
        <v>41</v>
      </c>
      <c r="B50">
        <v>55668704</v>
      </c>
      <c r="C50">
        <v>55669037</v>
      </c>
      <c r="D50">
        <v>53630257</v>
      </c>
      <c r="E50">
        <v>70</v>
      </c>
      <c r="F50">
        <v>1</v>
      </c>
      <c r="G50">
        <v>1</v>
      </c>
      <c r="H50">
        <v>1</v>
      </c>
      <c r="I50" t="s">
        <v>280</v>
      </c>
      <c r="K50" t="s">
        <v>281</v>
      </c>
      <c r="L50">
        <v>1191</v>
      </c>
      <c r="N50">
        <v>1013</v>
      </c>
      <c r="O50" t="s">
        <v>279</v>
      </c>
      <c r="P50" t="s">
        <v>279</v>
      </c>
      <c r="Q50">
        <v>1</v>
      </c>
      <c r="W50">
        <v>0</v>
      </c>
      <c r="X50">
        <v>-1417349443</v>
      </c>
      <c r="Y50">
        <v>0.7374999999999999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1</v>
      </c>
      <c r="AJ50">
        <v>1</v>
      </c>
      <c r="AK50">
        <v>37.34</v>
      </c>
      <c r="AL50">
        <v>1</v>
      </c>
      <c r="AN50">
        <v>0</v>
      </c>
      <c r="AO50">
        <v>1</v>
      </c>
      <c r="AP50">
        <v>1</v>
      </c>
      <c r="AQ50">
        <v>0</v>
      </c>
      <c r="AR50">
        <v>0</v>
      </c>
      <c r="AT50">
        <v>0.59</v>
      </c>
      <c r="AU50" t="s">
        <v>72</v>
      </c>
      <c r="AV50">
        <v>2</v>
      </c>
      <c r="AW50">
        <v>2</v>
      </c>
      <c r="AX50">
        <v>55669045</v>
      </c>
      <c r="AY50">
        <v>1</v>
      </c>
      <c r="AZ50">
        <v>0</v>
      </c>
      <c r="BA50">
        <v>58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Y50*Source!I41</f>
        <v>0.007375</v>
      </c>
      <c r="CY50">
        <f>AD50</f>
        <v>0</v>
      </c>
      <c r="CZ50">
        <f>AH50</f>
        <v>0</v>
      </c>
      <c r="DA50">
        <f>AL50</f>
        <v>1</v>
      </c>
      <c r="DB50">
        <f>ROUND((ROUND(AT50*CZ50,2)*ROUND(1.25,7)),2)</f>
        <v>0</v>
      </c>
      <c r="DC50">
        <f>ROUND((ROUND(AT50*AG50,2)*ROUND(1.25,7)),2)</f>
        <v>0</v>
      </c>
    </row>
    <row r="51" spans="1:107" ht="12.75">
      <c r="A51">
        <f>ROW(Source!A41)</f>
        <v>41</v>
      </c>
      <c r="B51">
        <v>55668704</v>
      </c>
      <c r="C51">
        <v>55669037</v>
      </c>
      <c r="D51">
        <v>53791997</v>
      </c>
      <c r="E51">
        <v>1</v>
      </c>
      <c r="F51">
        <v>1</v>
      </c>
      <c r="G51">
        <v>1</v>
      </c>
      <c r="H51">
        <v>2</v>
      </c>
      <c r="I51" t="s">
        <v>282</v>
      </c>
      <c r="J51" t="s">
        <v>283</v>
      </c>
      <c r="K51" t="s">
        <v>284</v>
      </c>
      <c r="L51">
        <v>1367</v>
      </c>
      <c r="N51">
        <v>1011</v>
      </c>
      <c r="O51" t="s">
        <v>285</v>
      </c>
      <c r="P51" t="s">
        <v>285</v>
      </c>
      <c r="Q51">
        <v>1</v>
      </c>
      <c r="W51">
        <v>0</v>
      </c>
      <c r="X51">
        <v>-430484415</v>
      </c>
      <c r="Y51">
        <v>0.3125</v>
      </c>
      <c r="AA51">
        <v>0</v>
      </c>
      <c r="AB51">
        <v>1527.9</v>
      </c>
      <c r="AC51">
        <v>504.09</v>
      </c>
      <c r="AD51">
        <v>0</v>
      </c>
      <c r="AE51">
        <v>0</v>
      </c>
      <c r="AF51">
        <v>115.4</v>
      </c>
      <c r="AG51">
        <v>13.5</v>
      </c>
      <c r="AH51">
        <v>0</v>
      </c>
      <c r="AI51">
        <v>1</v>
      </c>
      <c r="AJ51">
        <v>13.24</v>
      </c>
      <c r="AK51">
        <v>37.34</v>
      </c>
      <c r="AL51">
        <v>1</v>
      </c>
      <c r="AN51">
        <v>0</v>
      </c>
      <c r="AO51">
        <v>1</v>
      </c>
      <c r="AP51">
        <v>1</v>
      </c>
      <c r="AQ51">
        <v>0</v>
      </c>
      <c r="AR51">
        <v>0</v>
      </c>
      <c r="AT51">
        <v>0.25</v>
      </c>
      <c r="AU51" t="s">
        <v>72</v>
      </c>
      <c r="AV51">
        <v>0</v>
      </c>
      <c r="AW51">
        <v>2</v>
      </c>
      <c r="AX51">
        <v>55669046</v>
      </c>
      <c r="AY51">
        <v>1</v>
      </c>
      <c r="AZ51">
        <v>0</v>
      </c>
      <c r="BA51">
        <v>59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Y51*Source!I41</f>
        <v>0.003125</v>
      </c>
      <c r="CY51">
        <f>AB51</f>
        <v>1527.9</v>
      </c>
      <c r="CZ51">
        <f>AF51</f>
        <v>115.4</v>
      </c>
      <c r="DA51">
        <f>AJ51</f>
        <v>13.24</v>
      </c>
      <c r="DB51">
        <f>ROUND((ROUND(AT51*CZ51,2)*ROUND(1.25,7)),2)</f>
        <v>36.06</v>
      </c>
      <c r="DC51">
        <f>ROUND((ROUND(AT51*AG51,2)*ROUND(1.25,7)),2)</f>
        <v>4.23</v>
      </c>
    </row>
    <row r="52" spans="1:107" ht="12.75">
      <c r="A52">
        <f>ROW(Source!A41)</f>
        <v>41</v>
      </c>
      <c r="B52">
        <v>55668704</v>
      </c>
      <c r="C52">
        <v>55669037</v>
      </c>
      <c r="D52">
        <v>53792927</v>
      </c>
      <c r="E52">
        <v>1</v>
      </c>
      <c r="F52">
        <v>1</v>
      </c>
      <c r="G52">
        <v>1</v>
      </c>
      <c r="H52">
        <v>2</v>
      </c>
      <c r="I52" t="s">
        <v>289</v>
      </c>
      <c r="J52" t="s">
        <v>290</v>
      </c>
      <c r="K52" t="s">
        <v>291</v>
      </c>
      <c r="L52">
        <v>1367</v>
      </c>
      <c r="N52">
        <v>1011</v>
      </c>
      <c r="O52" t="s">
        <v>285</v>
      </c>
      <c r="P52" t="s">
        <v>285</v>
      </c>
      <c r="Q52">
        <v>1</v>
      </c>
      <c r="W52">
        <v>0</v>
      </c>
      <c r="X52">
        <v>509054691</v>
      </c>
      <c r="Y52">
        <v>0.42500000000000004</v>
      </c>
      <c r="AA52">
        <v>0</v>
      </c>
      <c r="AB52">
        <v>870</v>
      </c>
      <c r="AC52">
        <v>433.14</v>
      </c>
      <c r="AD52">
        <v>0</v>
      </c>
      <c r="AE52">
        <v>0</v>
      </c>
      <c r="AF52">
        <v>65.71</v>
      </c>
      <c r="AG52">
        <v>11.6</v>
      </c>
      <c r="AH52">
        <v>0</v>
      </c>
      <c r="AI52">
        <v>1</v>
      </c>
      <c r="AJ52">
        <v>13.24</v>
      </c>
      <c r="AK52">
        <v>37.34</v>
      </c>
      <c r="AL52">
        <v>1</v>
      </c>
      <c r="AN52">
        <v>0</v>
      </c>
      <c r="AO52">
        <v>1</v>
      </c>
      <c r="AP52">
        <v>1</v>
      </c>
      <c r="AQ52">
        <v>0</v>
      </c>
      <c r="AR52">
        <v>0</v>
      </c>
      <c r="AT52">
        <v>0.34</v>
      </c>
      <c r="AU52" t="s">
        <v>72</v>
      </c>
      <c r="AV52">
        <v>0</v>
      </c>
      <c r="AW52">
        <v>2</v>
      </c>
      <c r="AX52">
        <v>55669047</v>
      </c>
      <c r="AY52">
        <v>1</v>
      </c>
      <c r="AZ52">
        <v>0</v>
      </c>
      <c r="BA52">
        <v>60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Y52*Source!I41</f>
        <v>0.00425</v>
      </c>
      <c r="CY52">
        <f>AB52</f>
        <v>870</v>
      </c>
      <c r="CZ52">
        <f>AF52</f>
        <v>65.71</v>
      </c>
      <c r="DA52">
        <f>AJ52</f>
        <v>13.24</v>
      </c>
      <c r="DB52">
        <f>ROUND((ROUND(AT52*CZ52,2)*ROUND(1.25,7)),2)</f>
        <v>27.93</v>
      </c>
      <c r="DC52">
        <f>ROUND((ROUND(AT52*AG52,2)*ROUND(1.25,7)),2)</f>
        <v>4.93</v>
      </c>
    </row>
    <row r="53" spans="1:107" ht="12.75">
      <c r="A53">
        <f>ROW(Source!A41)</f>
        <v>41</v>
      </c>
      <c r="B53">
        <v>55668704</v>
      </c>
      <c r="C53">
        <v>55669037</v>
      </c>
      <c r="D53">
        <v>53659482</v>
      </c>
      <c r="E53">
        <v>1</v>
      </c>
      <c r="F53">
        <v>1</v>
      </c>
      <c r="G53">
        <v>1</v>
      </c>
      <c r="H53">
        <v>3</v>
      </c>
      <c r="I53" t="s">
        <v>48</v>
      </c>
      <c r="J53" t="s">
        <v>51</v>
      </c>
      <c r="K53" t="s">
        <v>49</v>
      </c>
      <c r="L53">
        <v>1371</v>
      </c>
      <c r="N53">
        <v>1013</v>
      </c>
      <c r="O53" t="s">
        <v>50</v>
      </c>
      <c r="P53" t="s">
        <v>50</v>
      </c>
      <c r="Q53">
        <v>1</v>
      </c>
      <c r="W53">
        <v>0</v>
      </c>
      <c r="X53">
        <v>1897660979</v>
      </c>
      <c r="Y53">
        <v>0.01</v>
      </c>
      <c r="AA53">
        <v>2325.12</v>
      </c>
      <c r="AB53">
        <v>0</v>
      </c>
      <c r="AC53">
        <v>0</v>
      </c>
      <c r="AD53">
        <v>0</v>
      </c>
      <c r="AE53">
        <v>346</v>
      </c>
      <c r="AF53">
        <v>0</v>
      </c>
      <c r="AG53">
        <v>0</v>
      </c>
      <c r="AH53">
        <v>0</v>
      </c>
      <c r="AI53">
        <v>6.72</v>
      </c>
      <c r="AJ53">
        <v>1</v>
      </c>
      <c r="AK53">
        <v>1</v>
      </c>
      <c r="AL53">
        <v>1</v>
      </c>
      <c r="AN53">
        <v>0</v>
      </c>
      <c r="AO53">
        <v>1</v>
      </c>
      <c r="AP53">
        <v>0</v>
      </c>
      <c r="AQ53">
        <v>0</v>
      </c>
      <c r="AR53">
        <v>0</v>
      </c>
      <c r="AT53">
        <v>0.01</v>
      </c>
      <c r="AV53">
        <v>0</v>
      </c>
      <c r="AW53">
        <v>2</v>
      </c>
      <c r="AX53">
        <v>55669048</v>
      </c>
      <c r="AY53">
        <v>1</v>
      </c>
      <c r="AZ53">
        <v>0</v>
      </c>
      <c r="BA53">
        <v>61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Y53*Source!I41</f>
        <v>0.0001</v>
      </c>
      <c r="CY53">
        <f>AA53</f>
        <v>2325.12</v>
      </c>
      <c r="CZ53">
        <f>AE53</f>
        <v>346</v>
      </c>
      <c r="DA53">
        <f>AI53</f>
        <v>6.72</v>
      </c>
      <c r="DB53">
        <f>ROUND(ROUND(AT53*CZ53,2),2)</f>
        <v>3.46</v>
      </c>
      <c r="DC53">
        <f>ROUND(ROUND(AT53*AG53,2),2)</f>
        <v>0</v>
      </c>
    </row>
    <row r="54" spans="1:107" ht="12.75">
      <c r="A54">
        <f>ROW(Source!A41)</f>
        <v>41</v>
      </c>
      <c r="B54">
        <v>55668704</v>
      </c>
      <c r="C54">
        <v>55669037</v>
      </c>
      <c r="D54">
        <v>53662892</v>
      </c>
      <c r="E54">
        <v>1</v>
      </c>
      <c r="F54">
        <v>1</v>
      </c>
      <c r="G54">
        <v>1</v>
      </c>
      <c r="H54">
        <v>3</v>
      </c>
      <c r="I54" t="s">
        <v>53</v>
      </c>
      <c r="J54" t="s">
        <v>55</v>
      </c>
      <c r="K54" t="s">
        <v>54</v>
      </c>
      <c r="L54">
        <v>1348</v>
      </c>
      <c r="N54">
        <v>1009</v>
      </c>
      <c r="O54" t="s">
        <v>41</v>
      </c>
      <c r="P54" t="s">
        <v>41</v>
      </c>
      <c r="Q54">
        <v>1000</v>
      </c>
      <c r="W54">
        <v>0</v>
      </c>
      <c r="X54">
        <v>-1788787296</v>
      </c>
      <c r="Y54">
        <v>1</v>
      </c>
      <c r="AA54">
        <v>67872</v>
      </c>
      <c r="AB54">
        <v>0</v>
      </c>
      <c r="AC54">
        <v>0</v>
      </c>
      <c r="AD54">
        <v>0</v>
      </c>
      <c r="AE54">
        <v>10100</v>
      </c>
      <c r="AF54">
        <v>0</v>
      </c>
      <c r="AG54">
        <v>0</v>
      </c>
      <c r="AH54">
        <v>0</v>
      </c>
      <c r="AI54">
        <v>6.72</v>
      </c>
      <c r="AJ54">
        <v>1</v>
      </c>
      <c r="AK54">
        <v>1</v>
      </c>
      <c r="AL54">
        <v>1</v>
      </c>
      <c r="AN54">
        <v>0</v>
      </c>
      <c r="AO54">
        <v>1</v>
      </c>
      <c r="AP54">
        <v>0</v>
      </c>
      <c r="AQ54">
        <v>0</v>
      </c>
      <c r="AR54">
        <v>0</v>
      </c>
      <c r="AT54">
        <v>1</v>
      </c>
      <c r="AV54">
        <v>0</v>
      </c>
      <c r="AW54">
        <v>2</v>
      </c>
      <c r="AX54">
        <v>55669049</v>
      </c>
      <c r="AY54">
        <v>1</v>
      </c>
      <c r="AZ54">
        <v>0</v>
      </c>
      <c r="BA54">
        <v>62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Y54*Source!I41</f>
        <v>0.01</v>
      </c>
      <c r="CY54">
        <f>AA54</f>
        <v>67872</v>
      </c>
      <c r="CZ54">
        <f>AE54</f>
        <v>10100</v>
      </c>
      <c r="DA54">
        <f>AI54</f>
        <v>6.72</v>
      </c>
      <c r="DB54">
        <f>ROUND(ROUND(AT54*CZ54,2),2)</f>
        <v>10100</v>
      </c>
      <c r="DC54">
        <f>ROUND(ROUND(AT54*AG54,2),2)</f>
        <v>0</v>
      </c>
    </row>
    <row r="55" spans="1:107" ht="12.75">
      <c r="A55">
        <f>ROW(Source!A42)</f>
        <v>42</v>
      </c>
      <c r="B55">
        <v>55668703</v>
      </c>
      <c r="C55">
        <v>55669050</v>
      </c>
      <c r="D55">
        <v>53630123</v>
      </c>
      <c r="E55">
        <v>70</v>
      </c>
      <c r="F55">
        <v>1</v>
      </c>
      <c r="G55">
        <v>1</v>
      </c>
      <c r="H55">
        <v>1</v>
      </c>
      <c r="I55" t="s">
        <v>277</v>
      </c>
      <c r="K55" t="s">
        <v>278</v>
      </c>
      <c r="L55">
        <v>1191</v>
      </c>
      <c r="N55">
        <v>1013</v>
      </c>
      <c r="O55" t="s">
        <v>279</v>
      </c>
      <c r="P55" t="s">
        <v>279</v>
      </c>
      <c r="Q55">
        <v>1</v>
      </c>
      <c r="W55">
        <v>0</v>
      </c>
      <c r="X55">
        <v>-1841613679</v>
      </c>
      <c r="Y55">
        <v>342.7</v>
      </c>
      <c r="AA55">
        <v>0</v>
      </c>
      <c r="AB55">
        <v>0</v>
      </c>
      <c r="AC55">
        <v>0</v>
      </c>
      <c r="AD55">
        <v>10.06</v>
      </c>
      <c r="AE55">
        <v>0</v>
      </c>
      <c r="AF55">
        <v>0</v>
      </c>
      <c r="AG55">
        <v>0</v>
      </c>
      <c r="AH55">
        <v>10.06</v>
      </c>
      <c r="AI55">
        <v>1</v>
      </c>
      <c r="AJ55">
        <v>1</v>
      </c>
      <c r="AK55">
        <v>1</v>
      </c>
      <c r="AL55">
        <v>1</v>
      </c>
      <c r="AN55">
        <v>0</v>
      </c>
      <c r="AO55">
        <v>1</v>
      </c>
      <c r="AP55">
        <v>1</v>
      </c>
      <c r="AQ55">
        <v>0</v>
      </c>
      <c r="AR55">
        <v>0</v>
      </c>
      <c r="AT55">
        <v>298</v>
      </c>
      <c r="AU55" t="s">
        <v>73</v>
      </c>
      <c r="AV55">
        <v>1</v>
      </c>
      <c r="AW55">
        <v>2</v>
      </c>
      <c r="AX55">
        <v>55669062</v>
      </c>
      <c r="AY55">
        <v>1</v>
      </c>
      <c r="AZ55">
        <v>0</v>
      </c>
      <c r="BA55">
        <v>63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Y55*Source!I42</f>
        <v>88.7593</v>
      </c>
      <c r="CY55">
        <f>AD55</f>
        <v>10.06</v>
      </c>
      <c r="CZ55">
        <f>AH55</f>
        <v>10.06</v>
      </c>
      <c r="DA55">
        <f>AL55</f>
        <v>1</v>
      </c>
      <c r="DB55">
        <f>ROUND((ROUND(AT55*CZ55,2)*ROUND(1.15,7)),2)</f>
        <v>3447.56</v>
      </c>
      <c r="DC55">
        <f>ROUND((ROUND(AT55*AG55,2)*ROUND(1.15,7)),2)</f>
        <v>0</v>
      </c>
    </row>
    <row r="56" spans="1:107" ht="12.75">
      <c r="A56">
        <f>ROW(Source!A42)</f>
        <v>42</v>
      </c>
      <c r="B56">
        <v>55668703</v>
      </c>
      <c r="C56">
        <v>55669050</v>
      </c>
      <c r="D56">
        <v>53630257</v>
      </c>
      <c r="E56">
        <v>70</v>
      </c>
      <c r="F56">
        <v>1</v>
      </c>
      <c r="G56">
        <v>1</v>
      </c>
      <c r="H56">
        <v>1</v>
      </c>
      <c r="I56" t="s">
        <v>280</v>
      </c>
      <c r="K56" t="s">
        <v>281</v>
      </c>
      <c r="L56">
        <v>1191</v>
      </c>
      <c r="N56">
        <v>1013</v>
      </c>
      <c r="O56" t="s">
        <v>279</v>
      </c>
      <c r="P56" t="s">
        <v>279</v>
      </c>
      <c r="Q56">
        <v>1</v>
      </c>
      <c r="W56">
        <v>0</v>
      </c>
      <c r="X56">
        <v>-1417349443</v>
      </c>
      <c r="Y56">
        <v>3.1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1</v>
      </c>
      <c r="AJ56">
        <v>1</v>
      </c>
      <c r="AK56">
        <v>1</v>
      </c>
      <c r="AL56">
        <v>1</v>
      </c>
      <c r="AN56">
        <v>0</v>
      </c>
      <c r="AO56">
        <v>1</v>
      </c>
      <c r="AP56">
        <v>1</v>
      </c>
      <c r="AQ56">
        <v>0</v>
      </c>
      <c r="AR56">
        <v>0</v>
      </c>
      <c r="AT56">
        <v>2.48</v>
      </c>
      <c r="AU56" t="s">
        <v>72</v>
      </c>
      <c r="AV56">
        <v>2</v>
      </c>
      <c r="AW56">
        <v>2</v>
      </c>
      <c r="AX56">
        <v>55669063</v>
      </c>
      <c r="AY56">
        <v>1</v>
      </c>
      <c r="AZ56">
        <v>0</v>
      </c>
      <c r="BA56">
        <v>64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Y56*Source!I42</f>
        <v>0.8029000000000001</v>
      </c>
      <c r="CY56">
        <f>AD56</f>
        <v>0</v>
      </c>
      <c r="CZ56">
        <f>AH56</f>
        <v>0</v>
      </c>
      <c r="DA56">
        <f>AL56</f>
        <v>1</v>
      </c>
      <c r="DB56">
        <f>ROUND((ROUND(AT56*CZ56,2)*ROUND(1.25,7)),2)</f>
        <v>0</v>
      </c>
      <c r="DC56">
        <f>ROUND((ROUND(AT56*AG56,2)*ROUND(1.25,7)),2)</f>
        <v>0</v>
      </c>
    </row>
    <row r="57" spans="1:107" ht="12.75">
      <c r="A57">
        <f>ROW(Source!A42)</f>
        <v>42</v>
      </c>
      <c r="B57">
        <v>55668703</v>
      </c>
      <c r="C57">
        <v>55669050</v>
      </c>
      <c r="D57">
        <v>53791997</v>
      </c>
      <c r="E57">
        <v>1</v>
      </c>
      <c r="F57">
        <v>1</v>
      </c>
      <c r="G57">
        <v>1</v>
      </c>
      <c r="H57">
        <v>2</v>
      </c>
      <c r="I57" t="s">
        <v>282</v>
      </c>
      <c r="J57" t="s">
        <v>283</v>
      </c>
      <c r="K57" t="s">
        <v>284</v>
      </c>
      <c r="L57">
        <v>1367</v>
      </c>
      <c r="N57">
        <v>1011</v>
      </c>
      <c r="O57" t="s">
        <v>285</v>
      </c>
      <c r="P57" t="s">
        <v>285</v>
      </c>
      <c r="Q57">
        <v>1</v>
      </c>
      <c r="W57">
        <v>0</v>
      </c>
      <c r="X57">
        <v>-430484415</v>
      </c>
      <c r="Y57">
        <v>2.75</v>
      </c>
      <c r="AA57">
        <v>0</v>
      </c>
      <c r="AB57">
        <v>115.4</v>
      </c>
      <c r="AC57">
        <v>13.5</v>
      </c>
      <c r="AD57">
        <v>0</v>
      </c>
      <c r="AE57">
        <v>0</v>
      </c>
      <c r="AF57">
        <v>115.4</v>
      </c>
      <c r="AG57">
        <v>13.5</v>
      </c>
      <c r="AH57">
        <v>0</v>
      </c>
      <c r="AI57">
        <v>1</v>
      </c>
      <c r="AJ57">
        <v>1</v>
      </c>
      <c r="AK57">
        <v>1</v>
      </c>
      <c r="AL57">
        <v>1</v>
      </c>
      <c r="AN57">
        <v>0</v>
      </c>
      <c r="AO57">
        <v>1</v>
      </c>
      <c r="AP57">
        <v>1</v>
      </c>
      <c r="AQ57">
        <v>0</v>
      </c>
      <c r="AR57">
        <v>0</v>
      </c>
      <c r="AT57">
        <v>2.2</v>
      </c>
      <c r="AU57" t="s">
        <v>72</v>
      </c>
      <c r="AV57">
        <v>0</v>
      </c>
      <c r="AW57">
        <v>2</v>
      </c>
      <c r="AX57">
        <v>55669064</v>
      </c>
      <c r="AY57">
        <v>1</v>
      </c>
      <c r="AZ57">
        <v>0</v>
      </c>
      <c r="BA57">
        <v>65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Y57*Source!I42</f>
        <v>0.71225</v>
      </c>
      <c r="CY57">
        <f>AB57</f>
        <v>115.4</v>
      </c>
      <c r="CZ57">
        <f>AF57</f>
        <v>115.4</v>
      </c>
      <c r="DA57">
        <f>AJ57</f>
        <v>1</v>
      </c>
      <c r="DB57">
        <f>ROUND((ROUND(AT57*CZ57,2)*ROUND(1.25,7)),2)</f>
        <v>317.35</v>
      </c>
      <c r="DC57">
        <f>ROUND((ROUND(AT57*AG57,2)*ROUND(1.25,7)),2)</f>
        <v>37.13</v>
      </c>
    </row>
    <row r="58" spans="1:107" ht="12.75">
      <c r="A58">
        <f>ROW(Source!A42)</f>
        <v>42</v>
      </c>
      <c r="B58">
        <v>55668703</v>
      </c>
      <c r="C58">
        <v>55669050</v>
      </c>
      <c r="D58">
        <v>53792134</v>
      </c>
      <c r="E58">
        <v>1</v>
      </c>
      <c r="F58">
        <v>1</v>
      </c>
      <c r="G58">
        <v>1</v>
      </c>
      <c r="H58">
        <v>2</v>
      </c>
      <c r="I58" t="s">
        <v>286</v>
      </c>
      <c r="J58" t="s">
        <v>287</v>
      </c>
      <c r="K58" t="s">
        <v>288</v>
      </c>
      <c r="L58">
        <v>1367</v>
      </c>
      <c r="N58">
        <v>1011</v>
      </c>
      <c r="O58" t="s">
        <v>285</v>
      </c>
      <c r="P58" t="s">
        <v>285</v>
      </c>
      <c r="Q58">
        <v>1</v>
      </c>
      <c r="W58">
        <v>0</v>
      </c>
      <c r="X58">
        <v>-382331097</v>
      </c>
      <c r="Y58">
        <v>54.875</v>
      </c>
      <c r="AA58">
        <v>0</v>
      </c>
      <c r="AB58">
        <v>6.9</v>
      </c>
      <c r="AC58">
        <v>0</v>
      </c>
      <c r="AD58">
        <v>0</v>
      </c>
      <c r="AE58">
        <v>0</v>
      </c>
      <c r="AF58">
        <v>6.9</v>
      </c>
      <c r="AG58">
        <v>0</v>
      </c>
      <c r="AH58">
        <v>0</v>
      </c>
      <c r="AI58">
        <v>1</v>
      </c>
      <c r="AJ58">
        <v>1</v>
      </c>
      <c r="AK58">
        <v>1</v>
      </c>
      <c r="AL58">
        <v>1</v>
      </c>
      <c r="AN58">
        <v>0</v>
      </c>
      <c r="AO58">
        <v>1</v>
      </c>
      <c r="AP58">
        <v>1</v>
      </c>
      <c r="AQ58">
        <v>0</v>
      </c>
      <c r="AR58">
        <v>0</v>
      </c>
      <c r="AT58">
        <v>43.9</v>
      </c>
      <c r="AU58" t="s">
        <v>72</v>
      </c>
      <c r="AV58">
        <v>0</v>
      </c>
      <c r="AW58">
        <v>2</v>
      </c>
      <c r="AX58">
        <v>55669065</v>
      </c>
      <c r="AY58">
        <v>1</v>
      </c>
      <c r="AZ58">
        <v>0</v>
      </c>
      <c r="BA58">
        <v>66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Y58*Source!I42</f>
        <v>14.212625000000001</v>
      </c>
      <c r="CY58">
        <f>AB58</f>
        <v>6.9</v>
      </c>
      <c r="CZ58">
        <f>AF58</f>
        <v>6.9</v>
      </c>
      <c r="DA58">
        <f>AJ58</f>
        <v>1</v>
      </c>
      <c r="DB58">
        <f>ROUND((ROUND(AT58*CZ58,2)*ROUND(1.25,7)),2)</f>
        <v>378.64</v>
      </c>
      <c r="DC58">
        <f>ROUND((ROUND(AT58*AG58,2)*ROUND(1.25,7)),2)</f>
        <v>0</v>
      </c>
    </row>
    <row r="59" spans="1:107" ht="12.75">
      <c r="A59">
        <f>ROW(Source!A42)</f>
        <v>42</v>
      </c>
      <c r="B59">
        <v>55668703</v>
      </c>
      <c r="C59">
        <v>55669050</v>
      </c>
      <c r="D59">
        <v>53792927</v>
      </c>
      <c r="E59">
        <v>1</v>
      </c>
      <c r="F59">
        <v>1</v>
      </c>
      <c r="G59">
        <v>1</v>
      </c>
      <c r="H59">
        <v>2</v>
      </c>
      <c r="I59" t="s">
        <v>289</v>
      </c>
      <c r="J59" t="s">
        <v>290</v>
      </c>
      <c r="K59" t="s">
        <v>291</v>
      </c>
      <c r="L59">
        <v>1367</v>
      </c>
      <c r="N59">
        <v>1011</v>
      </c>
      <c r="O59" t="s">
        <v>285</v>
      </c>
      <c r="P59" t="s">
        <v>285</v>
      </c>
      <c r="Q59">
        <v>1</v>
      </c>
      <c r="W59">
        <v>0</v>
      </c>
      <c r="X59">
        <v>509054691</v>
      </c>
      <c r="Y59">
        <v>0.35000000000000003</v>
      </c>
      <c r="AA59">
        <v>0</v>
      </c>
      <c r="AB59">
        <v>65.71</v>
      </c>
      <c r="AC59">
        <v>11.6</v>
      </c>
      <c r="AD59">
        <v>0</v>
      </c>
      <c r="AE59">
        <v>0</v>
      </c>
      <c r="AF59">
        <v>65.71</v>
      </c>
      <c r="AG59">
        <v>11.6</v>
      </c>
      <c r="AH59">
        <v>0</v>
      </c>
      <c r="AI59">
        <v>1</v>
      </c>
      <c r="AJ59">
        <v>1</v>
      </c>
      <c r="AK59">
        <v>1</v>
      </c>
      <c r="AL59">
        <v>1</v>
      </c>
      <c r="AN59">
        <v>0</v>
      </c>
      <c r="AO59">
        <v>1</v>
      </c>
      <c r="AP59">
        <v>1</v>
      </c>
      <c r="AQ59">
        <v>0</v>
      </c>
      <c r="AR59">
        <v>0</v>
      </c>
      <c r="AT59">
        <v>0.28</v>
      </c>
      <c r="AU59" t="s">
        <v>72</v>
      </c>
      <c r="AV59">
        <v>0</v>
      </c>
      <c r="AW59">
        <v>2</v>
      </c>
      <c r="AX59">
        <v>55669066</v>
      </c>
      <c r="AY59">
        <v>1</v>
      </c>
      <c r="AZ59">
        <v>0</v>
      </c>
      <c r="BA59">
        <v>67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Y59*Source!I42</f>
        <v>0.09065000000000001</v>
      </c>
      <c r="CY59">
        <f>AB59</f>
        <v>65.71</v>
      </c>
      <c r="CZ59">
        <f>AF59</f>
        <v>65.71</v>
      </c>
      <c r="DA59">
        <f>AJ59</f>
        <v>1</v>
      </c>
      <c r="DB59">
        <f>ROUND((ROUND(AT59*CZ59,2)*ROUND(1.25,7)),2)</f>
        <v>23</v>
      </c>
      <c r="DC59">
        <f>ROUND((ROUND(AT59*AG59,2)*ROUND(1.25,7)),2)</f>
        <v>4.06</v>
      </c>
    </row>
    <row r="60" spans="1:107" ht="12.75">
      <c r="A60">
        <f>ROW(Source!A42)</f>
        <v>42</v>
      </c>
      <c r="B60">
        <v>55668703</v>
      </c>
      <c r="C60">
        <v>55669050</v>
      </c>
      <c r="D60">
        <v>53646035</v>
      </c>
      <c r="E60">
        <v>1</v>
      </c>
      <c r="F60">
        <v>1</v>
      </c>
      <c r="G60">
        <v>1</v>
      </c>
      <c r="H60">
        <v>3</v>
      </c>
      <c r="I60" t="s">
        <v>292</v>
      </c>
      <c r="J60" t="s">
        <v>293</v>
      </c>
      <c r="K60" t="s">
        <v>294</v>
      </c>
      <c r="L60">
        <v>1348</v>
      </c>
      <c r="N60">
        <v>1009</v>
      </c>
      <c r="O60" t="s">
        <v>41</v>
      </c>
      <c r="P60" t="s">
        <v>41</v>
      </c>
      <c r="Q60">
        <v>1000</v>
      </c>
      <c r="W60">
        <v>0</v>
      </c>
      <c r="X60">
        <v>-1671348935</v>
      </c>
      <c r="Y60">
        <v>0.00115</v>
      </c>
      <c r="AA60">
        <v>37900</v>
      </c>
      <c r="AB60">
        <v>0</v>
      </c>
      <c r="AC60">
        <v>0</v>
      </c>
      <c r="AD60">
        <v>0</v>
      </c>
      <c r="AE60">
        <v>37900</v>
      </c>
      <c r="AF60">
        <v>0</v>
      </c>
      <c r="AG60">
        <v>0</v>
      </c>
      <c r="AH60">
        <v>0</v>
      </c>
      <c r="AI60">
        <v>1</v>
      </c>
      <c r="AJ60">
        <v>1</v>
      </c>
      <c r="AK60">
        <v>1</v>
      </c>
      <c r="AL60">
        <v>1</v>
      </c>
      <c r="AN60">
        <v>0</v>
      </c>
      <c r="AO60">
        <v>1</v>
      </c>
      <c r="AP60">
        <v>0</v>
      </c>
      <c r="AQ60">
        <v>0</v>
      </c>
      <c r="AR60">
        <v>0</v>
      </c>
      <c r="AT60">
        <v>0.00115</v>
      </c>
      <c r="AV60">
        <v>0</v>
      </c>
      <c r="AW60">
        <v>2</v>
      </c>
      <c r="AX60">
        <v>55669068</v>
      </c>
      <c r="AY60">
        <v>1</v>
      </c>
      <c r="AZ60">
        <v>0</v>
      </c>
      <c r="BA60">
        <v>69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Y60*Source!I42</f>
        <v>0.00029785</v>
      </c>
      <c r="CY60">
        <f aca="true" t="shared" si="2" ref="CY60:CY65">AA60</f>
        <v>37900</v>
      </c>
      <c r="CZ60">
        <f aca="true" t="shared" si="3" ref="CZ60:CZ65">AE60</f>
        <v>37900</v>
      </c>
      <c r="DA60">
        <f aca="true" t="shared" si="4" ref="DA60:DA65">AI60</f>
        <v>1</v>
      </c>
      <c r="DB60">
        <f aca="true" t="shared" si="5" ref="DB60:DB65">ROUND(ROUND(AT60*CZ60,2),2)</f>
        <v>43.59</v>
      </c>
      <c r="DC60">
        <f aca="true" t="shared" si="6" ref="DC60:DC65">ROUND(ROUND(AT60*AG60,2),2)</f>
        <v>0</v>
      </c>
    </row>
    <row r="61" spans="1:107" ht="12.75">
      <c r="A61">
        <f>ROW(Source!A42)</f>
        <v>42</v>
      </c>
      <c r="B61">
        <v>55668703</v>
      </c>
      <c r="C61">
        <v>55669050</v>
      </c>
      <c r="D61">
        <v>53659617</v>
      </c>
      <c r="E61">
        <v>1</v>
      </c>
      <c r="F61">
        <v>1</v>
      </c>
      <c r="G61">
        <v>1</v>
      </c>
      <c r="H61">
        <v>3</v>
      </c>
      <c r="I61" t="s">
        <v>295</v>
      </c>
      <c r="J61" t="s">
        <v>296</v>
      </c>
      <c r="K61" t="s">
        <v>297</v>
      </c>
      <c r="L61">
        <v>1348</v>
      </c>
      <c r="N61">
        <v>1009</v>
      </c>
      <c r="O61" t="s">
        <v>41</v>
      </c>
      <c r="P61" t="s">
        <v>41</v>
      </c>
      <c r="Q61">
        <v>1000</v>
      </c>
      <c r="W61">
        <v>0</v>
      </c>
      <c r="X61">
        <v>-1915778085</v>
      </c>
      <c r="Y61">
        <v>0.02</v>
      </c>
      <c r="AA61">
        <v>7712</v>
      </c>
      <c r="AB61">
        <v>0</v>
      </c>
      <c r="AC61">
        <v>0</v>
      </c>
      <c r="AD61">
        <v>0</v>
      </c>
      <c r="AE61">
        <v>7712</v>
      </c>
      <c r="AF61">
        <v>0</v>
      </c>
      <c r="AG61">
        <v>0</v>
      </c>
      <c r="AH61">
        <v>0</v>
      </c>
      <c r="AI61">
        <v>1</v>
      </c>
      <c r="AJ61">
        <v>1</v>
      </c>
      <c r="AK61">
        <v>1</v>
      </c>
      <c r="AL61">
        <v>1</v>
      </c>
      <c r="AN61">
        <v>0</v>
      </c>
      <c r="AO61">
        <v>1</v>
      </c>
      <c r="AP61">
        <v>0</v>
      </c>
      <c r="AQ61">
        <v>0</v>
      </c>
      <c r="AR61">
        <v>0</v>
      </c>
      <c r="AT61">
        <v>0.02</v>
      </c>
      <c r="AV61">
        <v>0</v>
      </c>
      <c r="AW61">
        <v>2</v>
      </c>
      <c r="AX61">
        <v>55669071</v>
      </c>
      <c r="AY61">
        <v>1</v>
      </c>
      <c r="AZ61">
        <v>0</v>
      </c>
      <c r="BA61">
        <v>72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>
        <f>Y61*Source!I42</f>
        <v>0.005180000000000001</v>
      </c>
      <c r="CY61">
        <f t="shared" si="2"/>
        <v>7712</v>
      </c>
      <c r="CZ61">
        <f t="shared" si="3"/>
        <v>7712</v>
      </c>
      <c r="DA61">
        <f t="shared" si="4"/>
        <v>1</v>
      </c>
      <c r="DB61">
        <f t="shared" si="5"/>
        <v>154.24</v>
      </c>
      <c r="DC61">
        <f t="shared" si="6"/>
        <v>0</v>
      </c>
    </row>
    <row r="62" spans="1:107" ht="12.75">
      <c r="A62">
        <f>ROW(Source!A42)</f>
        <v>42</v>
      </c>
      <c r="B62">
        <v>55668703</v>
      </c>
      <c r="C62">
        <v>55669050</v>
      </c>
      <c r="D62">
        <v>53661716</v>
      </c>
      <c r="E62">
        <v>1</v>
      </c>
      <c r="F62">
        <v>1</v>
      </c>
      <c r="G62">
        <v>1</v>
      </c>
      <c r="H62">
        <v>3</v>
      </c>
      <c r="I62" t="s">
        <v>298</v>
      </c>
      <c r="J62" t="s">
        <v>299</v>
      </c>
      <c r="K62" t="s">
        <v>300</v>
      </c>
      <c r="L62">
        <v>1302</v>
      </c>
      <c r="N62">
        <v>1003</v>
      </c>
      <c r="O62" t="s">
        <v>301</v>
      </c>
      <c r="P62" t="s">
        <v>301</v>
      </c>
      <c r="Q62">
        <v>10</v>
      </c>
      <c r="W62">
        <v>0</v>
      </c>
      <c r="X62">
        <v>581091037</v>
      </c>
      <c r="Y62">
        <v>0.2</v>
      </c>
      <c r="AA62">
        <v>50.24</v>
      </c>
      <c r="AB62">
        <v>0</v>
      </c>
      <c r="AC62">
        <v>0</v>
      </c>
      <c r="AD62">
        <v>0</v>
      </c>
      <c r="AE62">
        <v>50.24</v>
      </c>
      <c r="AF62">
        <v>0</v>
      </c>
      <c r="AG62">
        <v>0</v>
      </c>
      <c r="AH62">
        <v>0</v>
      </c>
      <c r="AI62">
        <v>1</v>
      </c>
      <c r="AJ62">
        <v>1</v>
      </c>
      <c r="AK62">
        <v>1</v>
      </c>
      <c r="AL62">
        <v>1</v>
      </c>
      <c r="AN62">
        <v>0</v>
      </c>
      <c r="AO62">
        <v>1</v>
      </c>
      <c r="AP62">
        <v>0</v>
      </c>
      <c r="AQ62">
        <v>0</v>
      </c>
      <c r="AR62">
        <v>0</v>
      </c>
      <c r="AT62">
        <v>0.2</v>
      </c>
      <c r="AV62">
        <v>0</v>
      </c>
      <c r="AW62">
        <v>2</v>
      </c>
      <c r="AX62">
        <v>55669072</v>
      </c>
      <c r="AY62">
        <v>1</v>
      </c>
      <c r="AZ62">
        <v>0</v>
      </c>
      <c r="BA62">
        <v>73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>
        <f>Y62*Source!I42</f>
        <v>0.051800000000000006</v>
      </c>
      <c r="CY62">
        <f t="shared" si="2"/>
        <v>50.24</v>
      </c>
      <c r="CZ62">
        <f t="shared" si="3"/>
        <v>50.24</v>
      </c>
      <c r="DA62">
        <f t="shared" si="4"/>
        <v>1</v>
      </c>
      <c r="DB62">
        <f t="shared" si="5"/>
        <v>10.05</v>
      </c>
      <c r="DC62">
        <f t="shared" si="6"/>
        <v>0</v>
      </c>
    </row>
    <row r="63" spans="1:107" ht="12.75">
      <c r="A63">
        <f>ROW(Source!A42)</f>
        <v>42</v>
      </c>
      <c r="B63">
        <v>55668703</v>
      </c>
      <c r="C63">
        <v>55669050</v>
      </c>
      <c r="D63">
        <v>53666055</v>
      </c>
      <c r="E63">
        <v>1</v>
      </c>
      <c r="F63">
        <v>1</v>
      </c>
      <c r="G63">
        <v>1</v>
      </c>
      <c r="H63">
        <v>3</v>
      </c>
      <c r="I63" t="s">
        <v>302</v>
      </c>
      <c r="J63" t="s">
        <v>303</v>
      </c>
      <c r="K63" t="s">
        <v>304</v>
      </c>
      <c r="L63">
        <v>1339</v>
      </c>
      <c r="N63">
        <v>1007</v>
      </c>
      <c r="O63" t="s">
        <v>305</v>
      </c>
      <c r="P63" t="s">
        <v>305</v>
      </c>
      <c r="Q63">
        <v>1</v>
      </c>
      <c r="W63">
        <v>0</v>
      </c>
      <c r="X63">
        <v>1758287014</v>
      </c>
      <c r="Y63">
        <v>0.04</v>
      </c>
      <c r="AA63">
        <v>1700</v>
      </c>
      <c r="AB63">
        <v>0</v>
      </c>
      <c r="AC63">
        <v>0</v>
      </c>
      <c r="AD63">
        <v>0</v>
      </c>
      <c r="AE63">
        <v>1700</v>
      </c>
      <c r="AF63">
        <v>0</v>
      </c>
      <c r="AG63">
        <v>0</v>
      </c>
      <c r="AH63">
        <v>0</v>
      </c>
      <c r="AI63">
        <v>1</v>
      </c>
      <c r="AJ63">
        <v>1</v>
      </c>
      <c r="AK63">
        <v>1</v>
      </c>
      <c r="AL63">
        <v>1</v>
      </c>
      <c r="AN63">
        <v>0</v>
      </c>
      <c r="AO63">
        <v>1</v>
      </c>
      <c r="AP63">
        <v>0</v>
      </c>
      <c r="AQ63">
        <v>0</v>
      </c>
      <c r="AR63">
        <v>0</v>
      </c>
      <c r="AT63">
        <v>0.04</v>
      </c>
      <c r="AV63">
        <v>0</v>
      </c>
      <c r="AW63">
        <v>2</v>
      </c>
      <c r="AX63">
        <v>55669074</v>
      </c>
      <c r="AY63">
        <v>1</v>
      </c>
      <c r="AZ63">
        <v>0</v>
      </c>
      <c r="BA63">
        <v>75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>
        <f>Y63*Source!I42</f>
        <v>0.010360000000000001</v>
      </c>
      <c r="CY63">
        <f t="shared" si="2"/>
        <v>1700</v>
      </c>
      <c r="CZ63">
        <f t="shared" si="3"/>
        <v>1700</v>
      </c>
      <c r="DA63">
        <f t="shared" si="4"/>
        <v>1</v>
      </c>
      <c r="DB63">
        <f t="shared" si="5"/>
        <v>68</v>
      </c>
      <c r="DC63">
        <f t="shared" si="6"/>
        <v>0</v>
      </c>
    </row>
    <row r="64" spans="1:107" ht="12.75">
      <c r="A64">
        <f>ROW(Source!A42)</f>
        <v>42</v>
      </c>
      <c r="B64">
        <v>55668703</v>
      </c>
      <c r="C64">
        <v>55669050</v>
      </c>
      <c r="D64">
        <v>0</v>
      </c>
      <c r="E64">
        <v>0</v>
      </c>
      <c r="F64">
        <v>1</v>
      </c>
      <c r="G64">
        <v>1</v>
      </c>
      <c r="H64">
        <v>3</v>
      </c>
      <c r="I64" t="s">
        <v>79</v>
      </c>
      <c r="K64" t="s">
        <v>80</v>
      </c>
      <c r="L64">
        <v>1327</v>
      </c>
      <c r="N64">
        <v>1005</v>
      </c>
      <c r="O64" t="s">
        <v>81</v>
      </c>
      <c r="P64" t="s">
        <v>81</v>
      </c>
      <c r="Q64">
        <v>1</v>
      </c>
      <c r="W64">
        <v>0</v>
      </c>
      <c r="X64">
        <v>155134122</v>
      </c>
      <c r="Y64">
        <v>100</v>
      </c>
      <c r="AA64">
        <v>30757</v>
      </c>
      <c r="AB64">
        <v>0</v>
      </c>
      <c r="AC64">
        <v>0</v>
      </c>
      <c r="AD64">
        <v>0</v>
      </c>
      <c r="AE64">
        <v>30757</v>
      </c>
      <c r="AF64">
        <v>0</v>
      </c>
      <c r="AG64">
        <v>0</v>
      </c>
      <c r="AH64">
        <v>0</v>
      </c>
      <c r="AI64">
        <v>1</v>
      </c>
      <c r="AJ64">
        <v>1</v>
      </c>
      <c r="AK64">
        <v>1</v>
      </c>
      <c r="AL64">
        <v>1</v>
      </c>
      <c r="AN64">
        <v>0</v>
      </c>
      <c r="AO64">
        <v>0</v>
      </c>
      <c r="AP64">
        <v>0</v>
      </c>
      <c r="AQ64">
        <v>0</v>
      </c>
      <c r="AR64">
        <v>0</v>
      </c>
      <c r="AT64">
        <v>100</v>
      </c>
      <c r="AV64">
        <v>0</v>
      </c>
      <c r="AW64">
        <v>1</v>
      </c>
      <c r="AX64">
        <v>-1</v>
      </c>
      <c r="AY64">
        <v>0</v>
      </c>
      <c r="AZ64">
        <v>0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>
        <f>Y64*Source!I42</f>
        <v>25.900000000000002</v>
      </c>
      <c r="CY64">
        <f t="shared" si="2"/>
        <v>30757</v>
      </c>
      <c r="CZ64">
        <f t="shared" si="3"/>
        <v>30757</v>
      </c>
      <c r="DA64">
        <f t="shared" si="4"/>
        <v>1</v>
      </c>
      <c r="DB64">
        <f t="shared" si="5"/>
        <v>3075700</v>
      </c>
      <c r="DC64">
        <f t="shared" si="6"/>
        <v>0</v>
      </c>
    </row>
    <row r="65" spans="1:107" ht="12.75">
      <c r="A65">
        <f>ROW(Source!A42)</f>
        <v>42</v>
      </c>
      <c r="B65">
        <v>55668703</v>
      </c>
      <c r="C65">
        <v>55669050</v>
      </c>
      <c r="D65">
        <v>0</v>
      </c>
      <c r="E65">
        <v>0</v>
      </c>
      <c r="F65">
        <v>1</v>
      </c>
      <c r="G65">
        <v>1</v>
      </c>
      <c r="H65">
        <v>3</v>
      </c>
      <c r="I65" t="s">
        <v>79</v>
      </c>
      <c r="K65" t="s">
        <v>84</v>
      </c>
      <c r="L65">
        <v>1377</v>
      </c>
      <c r="N65">
        <v>1013</v>
      </c>
      <c r="O65" t="s">
        <v>85</v>
      </c>
      <c r="P65" t="s">
        <v>85</v>
      </c>
      <c r="Q65">
        <v>1</v>
      </c>
      <c r="W65">
        <v>0</v>
      </c>
      <c r="X65">
        <v>-442735699</v>
      </c>
      <c r="Y65">
        <v>3.861004</v>
      </c>
      <c r="AA65">
        <v>78547</v>
      </c>
      <c r="AB65">
        <v>0</v>
      </c>
      <c r="AC65">
        <v>0</v>
      </c>
      <c r="AD65">
        <v>0</v>
      </c>
      <c r="AE65">
        <v>78547</v>
      </c>
      <c r="AF65">
        <v>0</v>
      </c>
      <c r="AG65">
        <v>0</v>
      </c>
      <c r="AH65">
        <v>0</v>
      </c>
      <c r="AI65">
        <v>1</v>
      </c>
      <c r="AJ65">
        <v>1</v>
      </c>
      <c r="AK65">
        <v>1</v>
      </c>
      <c r="AL65">
        <v>1</v>
      </c>
      <c r="AN65">
        <v>0</v>
      </c>
      <c r="AO65">
        <v>0</v>
      </c>
      <c r="AP65">
        <v>0</v>
      </c>
      <c r="AQ65">
        <v>0</v>
      </c>
      <c r="AR65">
        <v>0</v>
      </c>
      <c r="AT65">
        <v>3.861004</v>
      </c>
      <c r="AV65">
        <v>0</v>
      </c>
      <c r="AW65">
        <v>1</v>
      </c>
      <c r="AX65">
        <v>-1</v>
      </c>
      <c r="AY65">
        <v>0</v>
      </c>
      <c r="AZ65">
        <v>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X65">
        <f>Y65*Source!I42</f>
        <v>1.000000036</v>
      </c>
      <c r="CY65">
        <f t="shared" si="2"/>
        <v>78547</v>
      </c>
      <c r="CZ65">
        <f t="shared" si="3"/>
        <v>78547</v>
      </c>
      <c r="DA65">
        <f t="shared" si="4"/>
        <v>1</v>
      </c>
      <c r="DB65">
        <f t="shared" si="5"/>
        <v>303270.28</v>
      </c>
      <c r="DC65">
        <f t="shared" si="6"/>
        <v>0</v>
      </c>
    </row>
    <row r="66" spans="1:107" ht="12.75">
      <c r="A66">
        <f>ROW(Source!A43)</f>
        <v>43</v>
      </c>
      <c r="B66">
        <v>55668704</v>
      </c>
      <c r="C66">
        <v>55669050</v>
      </c>
      <c r="D66">
        <v>53630123</v>
      </c>
      <c r="E66">
        <v>70</v>
      </c>
      <c r="F66">
        <v>1</v>
      </c>
      <c r="G66">
        <v>1</v>
      </c>
      <c r="H66">
        <v>1</v>
      </c>
      <c r="I66" t="s">
        <v>277</v>
      </c>
      <c r="K66" t="s">
        <v>278</v>
      </c>
      <c r="L66">
        <v>1191</v>
      </c>
      <c r="N66">
        <v>1013</v>
      </c>
      <c r="O66" t="s">
        <v>279</v>
      </c>
      <c r="P66" t="s">
        <v>279</v>
      </c>
      <c r="Q66">
        <v>1</v>
      </c>
      <c r="W66">
        <v>0</v>
      </c>
      <c r="X66">
        <v>-1841613679</v>
      </c>
      <c r="Y66">
        <v>342.7</v>
      </c>
      <c r="AA66">
        <v>0</v>
      </c>
      <c r="AB66">
        <v>0</v>
      </c>
      <c r="AC66">
        <v>0</v>
      </c>
      <c r="AD66">
        <v>375.64</v>
      </c>
      <c r="AE66">
        <v>0</v>
      </c>
      <c r="AF66">
        <v>0</v>
      </c>
      <c r="AG66">
        <v>0</v>
      </c>
      <c r="AH66">
        <v>10.06</v>
      </c>
      <c r="AI66">
        <v>1</v>
      </c>
      <c r="AJ66">
        <v>1</v>
      </c>
      <c r="AK66">
        <v>1</v>
      </c>
      <c r="AL66">
        <v>37.34</v>
      </c>
      <c r="AN66">
        <v>0</v>
      </c>
      <c r="AO66">
        <v>1</v>
      </c>
      <c r="AP66">
        <v>1</v>
      </c>
      <c r="AQ66">
        <v>0</v>
      </c>
      <c r="AR66">
        <v>0</v>
      </c>
      <c r="AT66">
        <v>298</v>
      </c>
      <c r="AU66" t="s">
        <v>73</v>
      </c>
      <c r="AV66">
        <v>1</v>
      </c>
      <c r="AW66">
        <v>2</v>
      </c>
      <c r="AX66">
        <v>55669062</v>
      </c>
      <c r="AY66">
        <v>1</v>
      </c>
      <c r="AZ66">
        <v>0</v>
      </c>
      <c r="BA66">
        <v>76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X66">
        <f>Y66*Source!I43</f>
        <v>88.7593</v>
      </c>
      <c r="CY66">
        <f>AD66</f>
        <v>375.64</v>
      </c>
      <c r="CZ66">
        <f>AH66</f>
        <v>10.06</v>
      </c>
      <c r="DA66">
        <f>AL66</f>
        <v>37.34</v>
      </c>
      <c r="DB66">
        <f>ROUND((ROUND(AT66*CZ66,2)*ROUND(1.15,7)),2)</f>
        <v>3447.56</v>
      </c>
      <c r="DC66">
        <f>ROUND((ROUND(AT66*AG66,2)*ROUND(1.15,7)),2)</f>
        <v>0</v>
      </c>
    </row>
    <row r="67" spans="1:107" ht="12.75">
      <c r="A67">
        <f>ROW(Source!A43)</f>
        <v>43</v>
      </c>
      <c r="B67">
        <v>55668704</v>
      </c>
      <c r="C67">
        <v>55669050</v>
      </c>
      <c r="D67">
        <v>53630257</v>
      </c>
      <c r="E67">
        <v>70</v>
      </c>
      <c r="F67">
        <v>1</v>
      </c>
      <c r="G67">
        <v>1</v>
      </c>
      <c r="H67">
        <v>1</v>
      </c>
      <c r="I67" t="s">
        <v>280</v>
      </c>
      <c r="K67" t="s">
        <v>281</v>
      </c>
      <c r="L67">
        <v>1191</v>
      </c>
      <c r="N67">
        <v>1013</v>
      </c>
      <c r="O67" t="s">
        <v>279</v>
      </c>
      <c r="P67" t="s">
        <v>279</v>
      </c>
      <c r="Q67">
        <v>1</v>
      </c>
      <c r="W67">
        <v>0</v>
      </c>
      <c r="X67">
        <v>-1417349443</v>
      </c>
      <c r="Y67">
        <v>3.1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1</v>
      </c>
      <c r="AJ67">
        <v>1</v>
      </c>
      <c r="AK67">
        <v>37.34</v>
      </c>
      <c r="AL67">
        <v>1</v>
      </c>
      <c r="AN67">
        <v>0</v>
      </c>
      <c r="AO67">
        <v>1</v>
      </c>
      <c r="AP67">
        <v>1</v>
      </c>
      <c r="AQ67">
        <v>0</v>
      </c>
      <c r="AR67">
        <v>0</v>
      </c>
      <c r="AT67">
        <v>2.48</v>
      </c>
      <c r="AU67" t="s">
        <v>72</v>
      </c>
      <c r="AV67">
        <v>2</v>
      </c>
      <c r="AW67">
        <v>2</v>
      </c>
      <c r="AX67">
        <v>55669063</v>
      </c>
      <c r="AY67">
        <v>1</v>
      </c>
      <c r="AZ67">
        <v>0</v>
      </c>
      <c r="BA67">
        <v>77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>
        <f>Y67*Source!I43</f>
        <v>0.8029000000000001</v>
      </c>
      <c r="CY67">
        <f>AD67</f>
        <v>0</v>
      </c>
      <c r="CZ67">
        <f>AH67</f>
        <v>0</v>
      </c>
      <c r="DA67">
        <f>AL67</f>
        <v>1</v>
      </c>
      <c r="DB67">
        <f>ROUND((ROUND(AT67*CZ67,2)*ROUND(1.25,7)),2)</f>
        <v>0</v>
      </c>
      <c r="DC67">
        <f>ROUND((ROUND(AT67*AG67,2)*ROUND(1.25,7)),2)</f>
        <v>0</v>
      </c>
    </row>
    <row r="68" spans="1:107" ht="12.75">
      <c r="A68">
        <f>ROW(Source!A43)</f>
        <v>43</v>
      </c>
      <c r="B68">
        <v>55668704</v>
      </c>
      <c r="C68">
        <v>55669050</v>
      </c>
      <c r="D68">
        <v>53791997</v>
      </c>
      <c r="E68">
        <v>1</v>
      </c>
      <c r="F68">
        <v>1</v>
      </c>
      <c r="G68">
        <v>1</v>
      </c>
      <c r="H68">
        <v>2</v>
      </c>
      <c r="I68" t="s">
        <v>282</v>
      </c>
      <c r="J68" t="s">
        <v>283</v>
      </c>
      <c r="K68" t="s">
        <v>284</v>
      </c>
      <c r="L68">
        <v>1367</v>
      </c>
      <c r="N68">
        <v>1011</v>
      </c>
      <c r="O68" t="s">
        <v>285</v>
      </c>
      <c r="P68" t="s">
        <v>285</v>
      </c>
      <c r="Q68">
        <v>1</v>
      </c>
      <c r="W68">
        <v>0</v>
      </c>
      <c r="X68">
        <v>-430484415</v>
      </c>
      <c r="Y68">
        <v>2.75</v>
      </c>
      <c r="AA68">
        <v>0</v>
      </c>
      <c r="AB68">
        <v>1527.9</v>
      </c>
      <c r="AC68">
        <v>504.09</v>
      </c>
      <c r="AD68">
        <v>0</v>
      </c>
      <c r="AE68">
        <v>0</v>
      </c>
      <c r="AF68">
        <v>115.4</v>
      </c>
      <c r="AG68">
        <v>13.5</v>
      </c>
      <c r="AH68">
        <v>0</v>
      </c>
      <c r="AI68">
        <v>1</v>
      </c>
      <c r="AJ68">
        <v>13.24</v>
      </c>
      <c r="AK68">
        <v>37.34</v>
      </c>
      <c r="AL68">
        <v>1</v>
      </c>
      <c r="AN68">
        <v>0</v>
      </c>
      <c r="AO68">
        <v>1</v>
      </c>
      <c r="AP68">
        <v>1</v>
      </c>
      <c r="AQ68">
        <v>0</v>
      </c>
      <c r="AR68">
        <v>0</v>
      </c>
      <c r="AT68">
        <v>2.2</v>
      </c>
      <c r="AU68" t="s">
        <v>72</v>
      </c>
      <c r="AV68">
        <v>0</v>
      </c>
      <c r="AW68">
        <v>2</v>
      </c>
      <c r="AX68">
        <v>55669064</v>
      </c>
      <c r="AY68">
        <v>1</v>
      </c>
      <c r="AZ68">
        <v>0</v>
      </c>
      <c r="BA68">
        <v>78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>
        <f>Y68*Source!I43</f>
        <v>0.71225</v>
      </c>
      <c r="CY68">
        <f>AB68</f>
        <v>1527.9</v>
      </c>
      <c r="CZ68">
        <f>AF68</f>
        <v>115.4</v>
      </c>
      <c r="DA68">
        <f>AJ68</f>
        <v>13.24</v>
      </c>
      <c r="DB68">
        <f>ROUND((ROUND(AT68*CZ68,2)*ROUND(1.25,7)),2)</f>
        <v>317.35</v>
      </c>
      <c r="DC68">
        <f>ROUND((ROUND(AT68*AG68,2)*ROUND(1.25,7)),2)</f>
        <v>37.13</v>
      </c>
    </row>
    <row r="69" spans="1:107" ht="12.75">
      <c r="A69">
        <f>ROW(Source!A43)</f>
        <v>43</v>
      </c>
      <c r="B69">
        <v>55668704</v>
      </c>
      <c r="C69">
        <v>55669050</v>
      </c>
      <c r="D69">
        <v>53792134</v>
      </c>
      <c r="E69">
        <v>1</v>
      </c>
      <c r="F69">
        <v>1</v>
      </c>
      <c r="G69">
        <v>1</v>
      </c>
      <c r="H69">
        <v>2</v>
      </c>
      <c r="I69" t="s">
        <v>286</v>
      </c>
      <c r="J69" t="s">
        <v>287</v>
      </c>
      <c r="K69" t="s">
        <v>288</v>
      </c>
      <c r="L69">
        <v>1367</v>
      </c>
      <c r="N69">
        <v>1011</v>
      </c>
      <c r="O69" t="s">
        <v>285</v>
      </c>
      <c r="P69" t="s">
        <v>285</v>
      </c>
      <c r="Q69">
        <v>1</v>
      </c>
      <c r="W69">
        <v>0</v>
      </c>
      <c r="X69">
        <v>-382331097</v>
      </c>
      <c r="Y69">
        <v>54.875</v>
      </c>
      <c r="AA69">
        <v>0</v>
      </c>
      <c r="AB69">
        <v>91.36</v>
      </c>
      <c r="AC69">
        <v>0</v>
      </c>
      <c r="AD69">
        <v>0</v>
      </c>
      <c r="AE69">
        <v>0</v>
      </c>
      <c r="AF69">
        <v>6.9</v>
      </c>
      <c r="AG69">
        <v>0</v>
      </c>
      <c r="AH69">
        <v>0</v>
      </c>
      <c r="AI69">
        <v>1</v>
      </c>
      <c r="AJ69">
        <v>13.24</v>
      </c>
      <c r="AK69">
        <v>37.34</v>
      </c>
      <c r="AL69">
        <v>1</v>
      </c>
      <c r="AN69">
        <v>0</v>
      </c>
      <c r="AO69">
        <v>1</v>
      </c>
      <c r="AP69">
        <v>1</v>
      </c>
      <c r="AQ69">
        <v>0</v>
      </c>
      <c r="AR69">
        <v>0</v>
      </c>
      <c r="AT69">
        <v>43.9</v>
      </c>
      <c r="AU69" t="s">
        <v>72</v>
      </c>
      <c r="AV69">
        <v>0</v>
      </c>
      <c r="AW69">
        <v>2</v>
      </c>
      <c r="AX69">
        <v>55669065</v>
      </c>
      <c r="AY69">
        <v>1</v>
      </c>
      <c r="AZ69">
        <v>0</v>
      </c>
      <c r="BA69">
        <v>79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X69">
        <f>Y69*Source!I43</f>
        <v>14.212625000000001</v>
      </c>
      <c r="CY69">
        <f>AB69</f>
        <v>91.36</v>
      </c>
      <c r="CZ69">
        <f>AF69</f>
        <v>6.9</v>
      </c>
      <c r="DA69">
        <f>AJ69</f>
        <v>13.24</v>
      </c>
      <c r="DB69">
        <f>ROUND((ROUND(AT69*CZ69,2)*ROUND(1.25,7)),2)</f>
        <v>378.64</v>
      </c>
      <c r="DC69">
        <f>ROUND((ROUND(AT69*AG69,2)*ROUND(1.25,7)),2)</f>
        <v>0</v>
      </c>
    </row>
    <row r="70" spans="1:107" ht="12.75">
      <c r="A70">
        <f>ROW(Source!A43)</f>
        <v>43</v>
      </c>
      <c r="B70">
        <v>55668704</v>
      </c>
      <c r="C70">
        <v>55669050</v>
      </c>
      <c r="D70">
        <v>53792927</v>
      </c>
      <c r="E70">
        <v>1</v>
      </c>
      <c r="F70">
        <v>1</v>
      </c>
      <c r="G70">
        <v>1</v>
      </c>
      <c r="H70">
        <v>2</v>
      </c>
      <c r="I70" t="s">
        <v>289</v>
      </c>
      <c r="J70" t="s">
        <v>290</v>
      </c>
      <c r="K70" t="s">
        <v>291</v>
      </c>
      <c r="L70">
        <v>1367</v>
      </c>
      <c r="N70">
        <v>1011</v>
      </c>
      <c r="O70" t="s">
        <v>285</v>
      </c>
      <c r="P70" t="s">
        <v>285</v>
      </c>
      <c r="Q70">
        <v>1</v>
      </c>
      <c r="W70">
        <v>0</v>
      </c>
      <c r="X70">
        <v>509054691</v>
      </c>
      <c r="Y70">
        <v>0.35000000000000003</v>
      </c>
      <c r="AA70">
        <v>0</v>
      </c>
      <c r="AB70">
        <v>870</v>
      </c>
      <c r="AC70">
        <v>433.14</v>
      </c>
      <c r="AD70">
        <v>0</v>
      </c>
      <c r="AE70">
        <v>0</v>
      </c>
      <c r="AF70">
        <v>65.71</v>
      </c>
      <c r="AG70">
        <v>11.6</v>
      </c>
      <c r="AH70">
        <v>0</v>
      </c>
      <c r="AI70">
        <v>1</v>
      </c>
      <c r="AJ70">
        <v>13.24</v>
      </c>
      <c r="AK70">
        <v>37.34</v>
      </c>
      <c r="AL70">
        <v>1</v>
      </c>
      <c r="AN70">
        <v>0</v>
      </c>
      <c r="AO70">
        <v>1</v>
      </c>
      <c r="AP70">
        <v>1</v>
      </c>
      <c r="AQ70">
        <v>0</v>
      </c>
      <c r="AR70">
        <v>0</v>
      </c>
      <c r="AT70">
        <v>0.28</v>
      </c>
      <c r="AU70" t="s">
        <v>72</v>
      </c>
      <c r="AV70">
        <v>0</v>
      </c>
      <c r="AW70">
        <v>2</v>
      </c>
      <c r="AX70">
        <v>55669066</v>
      </c>
      <c r="AY70">
        <v>1</v>
      </c>
      <c r="AZ70">
        <v>0</v>
      </c>
      <c r="BA70">
        <v>80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X70">
        <f>Y70*Source!I43</f>
        <v>0.09065000000000001</v>
      </c>
      <c r="CY70">
        <f>AB70</f>
        <v>870</v>
      </c>
      <c r="CZ70">
        <f>AF70</f>
        <v>65.71</v>
      </c>
      <c r="DA70">
        <f>AJ70</f>
        <v>13.24</v>
      </c>
      <c r="DB70">
        <f>ROUND((ROUND(AT70*CZ70,2)*ROUND(1.25,7)),2)</f>
        <v>23</v>
      </c>
      <c r="DC70">
        <f>ROUND((ROUND(AT70*AG70,2)*ROUND(1.25,7)),2)</f>
        <v>4.06</v>
      </c>
    </row>
    <row r="71" spans="1:107" ht="12.75">
      <c r="A71">
        <f>ROW(Source!A43)</f>
        <v>43</v>
      </c>
      <c r="B71">
        <v>55668704</v>
      </c>
      <c r="C71">
        <v>55669050</v>
      </c>
      <c r="D71">
        <v>53646035</v>
      </c>
      <c r="E71">
        <v>1</v>
      </c>
      <c r="F71">
        <v>1</v>
      </c>
      <c r="G71">
        <v>1</v>
      </c>
      <c r="H71">
        <v>3</v>
      </c>
      <c r="I71" t="s">
        <v>292</v>
      </c>
      <c r="J71" t="s">
        <v>293</v>
      </c>
      <c r="K71" t="s">
        <v>294</v>
      </c>
      <c r="L71">
        <v>1348</v>
      </c>
      <c r="N71">
        <v>1009</v>
      </c>
      <c r="O71" t="s">
        <v>41</v>
      </c>
      <c r="P71" t="s">
        <v>41</v>
      </c>
      <c r="Q71">
        <v>1000</v>
      </c>
      <c r="W71">
        <v>0</v>
      </c>
      <c r="X71">
        <v>-1671348935</v>
      </c>
      <c r="Y71">
        <v>0.00115</v>
      </c>
      <c r="AA71">
        <v>254688</v>
      </c>
      <c r="AB71">
        <v>0</v>
      </c>
      <c r="AC71">
        <v>0</v>
      </c>
      <c r="AD71">
        <v>0</v>
      </c>
      <c r="AE71">
        <v>37900</v>
      </c>
      <c r="AF71">
        <v>0</v>
      </c>
      <c r="AG71">
        <v>0</v>
      </c>
      <c r="AH71">
        <v>0</v>
      </c>
      <c r="AI71">
        <v>6.72</v>
      </c>
      <c r="AJ71">
        <v>1</v>
      </c>
      <c r="AK71">
        <v>1</v>
      </c>
      <c r="AL71">
        <v>1</v>
      </c>
      <c r="AN71">
        <v>0</v>
      </c>
      <c r="AO71">
        <v>1</v>
      </c>
      <c r="AP71">
        <v>0</v>
      </c>
      <c r="AQ71">
        <v>0</v>
      </c>
      <c r="AR71">
        <v>0</v>
      </c>
      <c r="AT71">
        <v>0.00115</v>
      </c>
      <c r="AV71">
        <v>0</v>
      </c>
      <c r="AW71">
        <v>2</v>
      </c>
      <c r="AX71">
        <v>55669068</v>
      </c>
      <c r="AY71">
        <v>1</v>
      </c>
      <c r="AZ71">
        <v>0</v>
      </c>
      <c r="BA71">
        <v>82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X71">
        <f>Y71*Source!I43</f>
        <v>0.00029785</v>
      </c>
      <c r="CY71">
        <f aca="true" t="shared" si="7" ref="CY71:CY76">AA71</f>
        <v>254688</v>
      </c>
      <c r="CZ71">
        <f aca="true" t="shared" si="8" ref="CZ71:CZ76">AE71</f>
        <v>37900</v>
      </c>
      <c r="DA71">
        <f aca="true" t="shared" si="9" ref="DA71:DA76">AI71</f>
        <v>6.72</v>
      </c>
      <c r="DB71">
        <f aca="true" t="shared" si="10" ref="DB71:DB76">ROUND(ROUND(AT71*CZ71,2),2)</f>
        <v>43.59</v>
      </c>
      <c r="DC71">
        <f aca="true" t="shared" si="11" ref="DC71:DC76">ROUND(ROUND(AT71*AG71,2),2)</f>
        <v>0</v>
      </c>
    </row>
    <row r="72" spans="1:107" ht="12.75">
      <c r="A72">
        <f>ROW(Source!A43)</f>
        <v>43</v>
      </c>
      <c r="B72">
        <v>55668704</v>
      </c>
      <c r="C72">
        <v>55669050</v>
      </c>
      <c r="D72">
        <v>53659617</v>
      </c>
      <c r="E72">
        <v>1</v>
      </c>
      <c r="F72">
        <v>1</v>
      </c>
      <c r="G72">
        <v>1</v>
      </c>
      <c r="H72">
        <v>3</v>
      </c>
      <c r="I72" t="s">
        <v>295</v>
      </c>
      <c r="J72" t="s">
        <v>296</v>
      </c>
      <c r="K72" t="s">
        <v>297</v>
      </c>
      <c r="L72">
        <v>1348</v>
      </c>
      <c r="N72">
        <v>1009</v>
      </c>
      <c r="O72" t="s">
        <v>41</v>
      </c>
      <c r="P72" t="s">
        <v>41</v>
      </c>
      <c r="Q72">
        <v>1000</v>
      </c>
      <c r="W72">
        <v>0</v>
      </c>
      <c r="X72">
        <v>-1915778085</v>
      </c>
      <c r="Y72">
        <v>0.02</v>
      </c>
      <c r="AA72">
        <v>51824.64</v>
      </c>
      <c r="AB72">
        <v>0</v>
      </c>
      <c r="AC72">
        <v>0</v>
      </c>
      <c r="AD72">
        <v>0</v>
      </c>
      <c r="AE72">
        <v>7712</v>
      </c>
      <c r="AF72">
        <v>0</v>
      </c>
      <c r="AG72">
        <v>0</v>
      </c>
      <c r="AH72">
        <v>0</v>
      </c>
      <c r="AI72">
        <v>6.72</v>
      </c>
      <c r="AJ72">
        <v>1</v>
      </c>
      <c r="AK72">
        <v>1</v>
      </c>
      <c r="AL72">
        <v>1</v>
      </c>
      <c r="AN72">
        <v>0</v>
      </c>
      <c r="AO72">
        <v>1</v>
      </c>
      <c r="AP72">
        <v>0</v>
      </c>
      <c r="AQ72">
        <v>0</v>
      </c>
      <c r="AR72">
        <v>0</v>
      </c>
      <c r="AT72">
        <v>0.02</v>
      </c>
      <c r="AV72">
        <v>0</v>
      </c>
      <c r="AW72">
        <v>2</v>
      </c>
      <c r="AX72">
        <v>55669071</v>
      </c>
      <c r="AY72">
        <v>1</v>
      </c>
      <c r="AZ72">
        <v>0</v>
      </c>
      <c r="BA72">
        <v>85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X72">
        <f>Y72*Source!I43</f>
        <v>0.005180000000000001</v>
      </c>
      <c r="CY72">
        <f t="shared" si="7"/>
        <v>51824.64</v>
      </c>
      <c r="CZ72">
        <f t="shared" si="8"/>
        <v>7712</v>
      </c>
      <c r="DA72">
        <f t="shared" si="9"/>
        <v>6.72</v>
      </c>
      <c r="DB72">
        <f t="shared" si="10"/>
        <v>154.24</v>
      </c>
      <c r="DC72">
        <f t="shared" si="11"/>
        <v>0</v>
      </c>
    </row>
    <row r="73" spans="1:107" ht="12.75">
      <c r="A73">
        <f>ROW(Source!A43)</f>
        <v>43</v>
      </c>
      <c r="B73">
        <v>55668704</v>
      </c>
      <c r="C73">
        <v>55669050</v>
      </c>
      <c r="D73">
        <v>53661716</v>
      </c>
      <c r="E73">
        <v>1</v>
      </c>
      <c r="F73">
        <v>1</v>
      </c>
      <c r="G73">
        <v>1</v>
      </c>
      <c r="H73">
        <v>3</v>
      </c>
      <c r="I73" t="s">
        <v>298</v>
      </c>
      <c r="J73" t="s">
        <v>299</v>
      </c>
      <c r="K73" t="s">
        <v>300</v>
      </c>
      <c r="L73">
        <v>1302</v>
      </c>
      <c r="N73">
        <v>1003</v>
      </c>
      <c r="O73" t="s">
        <v>301</v>
      </c>
      <c r="P73" t="s">
        <v>301</v>
      </c>
      <c r="Q73">
        <v>10</v>
      </c>
      <c r="W73">
        <v>0</v>
      </c>
      <c r="X73">
        <v>581091037</v>
      </c>
      <c r="Y73">
        <v>0.2</v>
      </c>
      <c r="AA73">
        <v>337.61</v>
      </c>
      <c r="AB73">
        <v>0</v>
      </c>
      <c r="AC73">
        <v>0</v>
      </c>
      <c r="AD73">
        <v>0</v>
      </c>
      <c r="AE73">
        <v>50.24</v>
      </c>
      <c r="AF73">
        <v>0</v>
      </c>
      <c r="AG73">
        <v>0</v>
      </c>
      <c r="AH73">
        <v>0</v>
      </c>
      <c r="AI73">
        <v>6.72</v>
      </c>
      <c r="AJ73">
        <v>1</v>
      </c>
      <c r="AK73">
        <v>1</v>
      </c>
      <c r="AL73">
        <v>1</v>
      </c>
      <c r="AN73">
        <v>0</v>
      </c>
      <c r="AO73">
        <v>1</v>
      </c>
      <c r="AP73">
        <v>0</v>
      </c>
      <c r="AQ73">
        <v>0</v>
      </c>
      <c r="AR73">
        <v>0</v>
      </c>
      <c r="AT73">
        <v>0.2</v>
      </c>
      <c r="AV73">
        <v>0</v>
      </c>
      <c r="AW73">
        <v>2</v>
      </c>
      <c r="AX73">
        <v>55669072</v>
      </c>
      <c r="AY73">
        <v>1</v>
      </c>
      <c r="AZ73">
        <v>0</v>
      </c>
      <c r="BA73">
        <v>86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CX73">
        <f>Y73*Source!I43</f>
        <v>0.051800000000000006</v>
      </c>
      <c r="CY73">
        <f t="shared" si="7"/>
        <v>337.61</v>
      </c>
      <c r="CZ73">
        <f t="shared" si="8"/>
        <v>50.24</v>
      </c>
      <c r="DA73">
        <f t="shared" si="9"/>
        <v>6.72</v>
      </c>
      <c r="DB73">
        <f t="shared" si="10"/>
        <v>10.05</v>
      </c>
      <c r="DC73">
        <f t="shared" si="11"/>
        <v>0</v>
      </c>
    </row>
    <row r="74" spans="1:107" ht="12.75">
      <c r="A74">
        <f>ROW(Source!A43)</f>
        <v>43</v>
      </c>
      <c r="B74">
        <v>55668704</v>
      </c>
      <c r="C74">
        <v>55669050</v>
      </c>
      <c r="D74">
        <v>53666055</v>
      </c>
      <c r="E74">
        <v>1</v>
      </c>
      <c r="F74">
        <v>1</v>
      </c>
      <c r="G74">
        <v>1</v>
      </c>
      <c r="H74">
        <v>3</v>
      </c>
      <c r="I74" t="s">
        <v>302</v>
      </c>
      <c r="J74" t="s">
        <v>303</v>
      </c>
      <c r="K74" t="s">
        <v>304</v>
      </c>
      <c r="L74">
        <v>1339</v>
      </c>
      <c r="N74">
        <v>1007</v>
      </c>
      <c r="O74" t="s">
        <v>305</v>
      </c>
      <c r="P74" t="s">
        <v>305</v>
      </c>
      <c r="Q74">
        <v>1</v>
      </c>
      <c r="W74">
        <v>0</v>
      </c>
      <c r="X74">
        <v>1758287014</v>
      </c>
      <c r="Y74">
        <v>0.04</v>
      </c>
      <c r="AA74">
        <v>11424</v>
      </c>
      <c r="AB74">
        <v>0</v>
      </c>
      <c r="AC74">
        <v>0</v>
      </c>
      <c r="AD74">
        <v>0</v>
      </c>
      <c r="AE74">
        <v>1700</v>
      </c>
      <c r="AF74">
        <v>0</v>
      </c>
      <c r="AG74">
        <v>0</v>
      </c>
      <c r="AH74">
        <v>0</v>
      </c>
      <c r="AI74">
        <v>6.72</v>
      </c>
      <c r="AJ74">
        <v>1</v>
      </c>
      <c r="AK74">
        <v>1</v>
      </c>
      <c r="AL74">
        <v>1</v>
      </c>
      <c r="AN74">
        <v>0</v>
      </c>
      <c r="AO74">
        <v>1</v>
      </c>
      <c r="AP74">
        <v>0</v>
      </c>
      <c r="AQ74">
        <v>0</v>
      </c>
      <c r="AR74">
        <v>0</v>
      </c>
      <c r="AT74">
        <v>0.04</v>
      </c>
      <c r="AV74">
        <v>0</v>
      </c>
      <c r="AW74">
        <v>2</v>
      </c>
      <c r="AX74">
        <v>55669074</v>
      </c>
      <c r="AY74">
        <v>1</v>
      </c>
      <c r="AZ74">
        <v>0</v>
      </c>
      <c r="BA74">
        <v>88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CX74">
        <f>Y74*Source!I43</f>
        <v>0.010360000000000001</v>
      </c>
      <c r="CY74">
        <f t="shared" si="7"/>
        <v>11424</v>
      </c>
      <c r="CZ74">
        <f t="shared" si="8"/>
        <v>1700</v>
      </c>
      <c r="DA74">
        <f t="shared" si="9"/>
        <v>6.72</v>
      </c>
      <c r="DB74">
        <f t="shared" si="10"/>
        <v>68</v>
      </c>
      <c r="DC74">
        <f t="shared" si="11"/>
        <v>0</v>
      </c>
    </row>
    <row r="75" spans="1:107" ht="12.75">
      <c r="A75">
        <f>ROW(Source!A43)</f>
        <v>43</v>
      </c>
      <c r="B75">
        <v>55668704</v>
      </c>
      <c r="C75">
        <v>55669050</v>
      </c>
      <c r="D75">
        <v>0</v>
      </c>
      <c r="E75">
        <v>0</v>
      </c>
      <c r="F75">
        <v>1</v>
      </c>
      <c r="G75">
        <v>1</v>
      </c>
      <c r="H75">
        <v>3</v>
      </c>
      <c r="I75" t="s">
        <v>79</v>
      </c>
      <c r="K75" t="s">
        <v>80</v>
      </c>
      <c r="L75">
        <v>1327</v>
      </c>
      <c r="N75">
        <v>1005</v>
      </c>
      <c r="O75" t="s">
        <v>81</v>
      </c>
      <c r="P75" t="s">
        <v>81</v>
      </c>
      <c r="Q75">
        <v>1</v>
      </c>
      <c r="W75">
        <v>0</v>
      </c>
      <c r="X75">
        <v>155134122</v>
      </c>
      <c r="Y75">
        <v>100</v>
      </c>
      <c r="AA75">
        <v>30757</v>
      </c>
      <c r="AB75">
        <v>0</v>
      </c>
      <c r="AC75">
        <v>0</v>
      </c>
      <c r="AD75">
        <v>0</v>
      </c>
      <c r="AE75">
        <v>30757</v>
      </c>
      <c r="AF75">
        <v>0</v>
      </c>
      <c r="AG75">
        <v>0</v>
      </c>
      <c r="AH75">
        <v>0</v>
      </c>
      <c r="AI75">
        <v>1</v>
      </c>
      <c r="AJ75">
        <v>1</v>
      </c>
      <c r="AK75">
        <v>1</v>
      </c>
      <c r="AL75">
        <v>1</v>
      </c>
      <c r="AN75">
        <v>0</v>
      </c>
      <c r="AO75">
        <v>0</v>
      </c>
      <c r="AP75">
        <v>0</v>
      </c>
      <c r="AQ75">
        <v>0</v>
      </c>
      <c r="AR75">
        <v>0</v>
      </c>
      <c r="AT75">
        <v>100</v>
      </c>
      <c r="AV75">
        <v>0</v>
      </c>
      <c r="AW75">
        <v>1</v>
      </c>
      <c r="AX75">
        <v>-1</v>
      </c>
      <c r="AY75">
        <v>0</v>
      </c>
      <c r="AZ75">
        <v>0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CX75">
        <f>Y75*Source!I43</f>
        <v>25.900000000000002</v>
      </c>
      <c r="CY75">
        <f t="shared" si="7"/>
        <v>30757</v>
      </c>
      <c r="CZ75">
        <f t="shared" si="8"/>
        <v>30757</v>
      </c>
      <c r="DA75">
        <f t="shared" si="9"/>
        <v>1</v>
      </c>
      <c r="DB75">
        <f t="shared" si="10"/>
        <v>3075700</v>
      </c>
      <c r="DC75">
        <f t="shared" si="11"/>
        <v>0</v>
      </c>
    </row>
    <row r="76" spans="1:107" ht="12.75">
      <c r="A76">
        <f>ROW(Source!A43)</f>
        <v>43</v>
      </c>
      <c r="B76">
        <v>55668704</v>
      </c>
      <c r="C76">
        <v>55669050</v>
      </c>
      <c r="D76">
        <v>0</v>
      </c>
      <c r="E76">
        <v>0</v>
      </c>
      <c r="F76">
        <v>1</v>
      </c>
      <c r="G76">
        <v>1</v>
      </c>
      <c r="H76">
        <v>3</v>
      </c>
      <c r="I76" t="s">
        <v>79</v>
      </c>
      <c r="K76" t="s">
        <v>84</v>
      </c>
      <c r="L76">
        <v>1377</v>
      </c>
      <c r="N76">
        <v>1013</v>
      </c>
      <c r="O76" t="s">
        <v>85</v>
      </c>
      <c r="P76" t="s">
        <v>85</v>
      </c>
      <c r="Q76">
        <v>1</v>
      </c>
      <c r="W76">
        <v>0</v>
      </c>
      <c r="X76">
        <v>-442735699</v>
      </c>
      <c r="Y76">
        <v>3.861004</v>
      </c>
      <c r="AA76">
        <v>78547</v>
      </c>
      <c r="AB76">
        <v>0</v>
      </c>
      <c r="AC76">
        <v>0</v>
      </c>
      <c r="AD76">
        <v>0</v>
      </c>
      <c r="AE76">
        <v>78547</v>
      </c>
      <c r="AF76">
        <v>0</v>
      </c>
      <c r="AG76">
        <v>0</v>
      </c>
      <c r="AH76">
        <v>0</v>
      </c>
      <c r="AI76">
        <v>1</v>
      </c>
      <c r="AJ76">
        <v>1</v>
      </c>
      <c r="AK76">
        <v>1</v>
      </c>
      <c r="AL76">
        <v>1</v>
      </c>
      <c r="AN76">
        <v>0</v>
      </c>
      <c r="AO76">
        <v>0</v>
      </c>
      <c r="AP76">
        <v>0</v>
      </c>
      <c r="AQ76">
        <v>0</v>
      </c>
      <c r="AR76">
        <v>0</v>
      </c>
      <c r="AT76">
        <v>3.861004</v>
      </c>
      <c r="AV76">
        <v>0</v>
      </c>
      <c r="AW76">
        <v>1</v>
      </c>
      <c r="AX76">
        <v>-1</v>
      </c>
      <c r="AY76">
        <v>0</v>
      </c>
      <c r="AZ76">
        <v>0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CX76">
        <f>Y76*Source!I43</f>
        <v>1.000000036</v>
      </c>
      <c r="CY76">
        <f t="shared" si="7"/>
        <v>78547</v>
      </c>
      <c r="CZ76">
        <f t="shared" si="8"/>
        <v>78547</v>
      </c>
      <c r="DA76">
        <f t="shared" si="9"/>
        <v>1</v>
      </c>
      <c r="DB76">
        <f t="shared" si="10"/>
        <v>303270.28</v>
      </c>
      <c r="DC76">
        <f t="shared" si="11"/>
        <v>0</v>
      </c>
    </row>
    <row r="77" spans="1:107" ht="12.75">
      <c r="A77">
        <f>ROW(Source!A48)</f>
        <v>48</v>
      </c>
      <c r="B77">
        <v>55668703</v>
      </c>
      <c r="C77">
        <v>55669077</v>
      </c>
      <c r="D77">
        <v>53630083</v>
      </c>
      <c r="E77">
        <v>70</v>
      </c>
      <c r="F77">
        <v>1</v>
      </c>
      <c r="G77">
        <v>1</v>
      </c>
      <c r="H77">
        <v>1</v>
      </c>
      <c r="I77" t="s">
        <v>316</v>
      </c>
      <c r="K77" t="s">
        <v>317</v>
      </c>
      <c r="L77">
        <v>1191</v>
      </c>
      <c r="N77">
        <v>1013</v>
      </c>
      <c r="O77" t="s">
        <v>279</v>
      </c>
      <c r="P77" t="s">
        <v>279</v>
      </c>
      <c r="Q77">
        <v>1</v>
      </c>
      <c r="W77">
        <v>0</v>
      </c>
      <c r="X77">
        <v>1893946532</v>
      </c>
      <c r="Y77">
        <v>38.065</v>
      </c>
      <c r="AA77">
        <v>0</v>
      </c>
      <c r="AB77">
        <v>0</v>
      </c>
      <c r="AC77">
        <v>0</v>
      </c>
      <c r="AD77">
        <v>9.07</v>
      </c>
      <c r="AE77">
        <v>0</v>
      </c>
      <c r="AF77">
        <v>0</v>
      </c>
      <c r="AG77">
        <v>0</v>
      </c>
      <c r="AH77">
        <v>9.07</v>
      </c>
      <c r="AI77">
        <v>1</v>
      </c>
      <c r="AJ77">
        <v>1</v>
      </c>
      <c r="AK77">
        <v>1</v>
      </c>
      <c r="AL77">
        <v>1</v>
      </c>
      <c r="AN77">
        <v>0</v>
      </c>
      <c r="AO77">
        <v>1</v>
      </c>
      <c r="AP77">
        <v>1</v>
      </c>
      <c r="AQ77">
        <v>0</v>
      </c>
      <c r="AR77">
        <v>0</v>
      </c>
      <c r="AT77">
        <v>33.1</v>
      </c>
      <c r="AU77" t="s">
        <v>73</v>
      </c>
      <c r="AV77">
        <v>1</v>
      </c>
      <c r="AW77">
        <v>2</v>
      </c>
      <c r="AX77">
        <v>55669081</v>
      </c>
      <c r="AY77">
        <v>1</v>
      </c>
      <c r="AZ77">
        <v>0</v>
      </c>
      <c r="BA77">
        <v>89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CX77">
        <f>Y77*Source!I48</f>
        <v>25.770005</v>
      </c>
      <c r="CY77">
        <f>AD77</f>
        <v>9.07</v>
      </c>
      <c r="CZ77">
        <f>AH77</f>
        <v>9.07</v>
      </c>
      <c r="DA77">
        <f>AL77</f>
        <v>1</v>
      </c>
      <c r="DB77">
        <f>ROUND((ROUND(AT77*CZ77,2)*ROUND(1.15,7)),2)</f>
        <v>345.25</v>
      </c>
      <c r="DC77">
        <f>ROUND((ROUND(AT77*AG77,2)*ROUND(1.15,7)),2)</f>
        <v>0</v>
      </c>
    </row>
    <row r="78" spans="1:107" ht="12.75">
      <c r="A78">
        <f>ROW(Source!A48)</f>
        <v>48</v>
      </c>
      <c r="B78">
        <v>55668703</v>
      </c>
      <c r="C78">
        <v>55669077</v>
      </c>
      <c r="D78">
        <v>53644879</v>
      </c>
      <c r="E78">
        <v>1</v>
      </c>
      <c r="F78">
        <v>1</v>
      </c>
      <c r="G78">
        <v>1</v>
      </c>
      <c r="H78">
        <v>3</v>
      </c>
      <c r="I78" t="s">
        <v>318</v>
      </c>
      <c r="J78" t="s">
        <v>319</v>
      </c>
      <c r="K78" t="s">
        <v>320</v>
      </c>
      <c r="L78">
        <v>1348</v>
      </c>
      <c r="N78">
        <v>1009</v>
      </c>
      <c r="O78" t="s">
        <v>41</v>
      </c>
      <c r="P78" t="s">
        <v>41</v>
      </c>
      <c r="Q78">
        <v>1000</v>
      </c>
      <c r="W78">
        <v>0</v>
      </c>
      <c r="X78">
        <v>630459482</v>
      </c>
      <c r="Y78">
        <v>0.006</v>
      </c>
      <c r="AA78">
        <v>22954.57</v>
      </c>
      <c r="AB78">
        <v>0</v>
      </c>
      <c r="AC78">
        <v>0</v>
      </c>
      <c r="AD78">
        <v>0</v>
      </c>
      <c r="AE78">
        <v>22954.57</v>
      </c>
      <c r="AF78">
        <v>0</v>
      </c>
      <c r="AG78">
        <v>0</v>
      </c>
      <c r="AH78">
        <v>0</v>
      </c>
      <c r="AI78">
        <v>1</v>
      </c>
      <c r="AJ78">
        <v>1</v>
      </c>
      <c r="AK78">
        <v>1</v>
      </c>
      <c r="AL78">
        <v>1</v>
      </c>
      <c r="AN78">
        <v>0</v>
      </c>
      <c r="AO78">
        <v>1</v>
      </c>
      <c r="AP78">
        <v>0</v>
      </c>
      <c r="AQ78">
        <v>0</v>
      </c>
      <c r="AR78">
        <v>0</v>
      </c>
      <c r="AT78">
        <v>0.006</v>
      </c>
      <c r="AV78">
        <v>0</v>
      </c>
      <c r="AW78">
        <v>2</v>
      </c>
      <c r="AX78">
        <v>55669082</v>
      </c>
      <c r="AY78">
        <v>1</v>
      </c>
      <c r="AZ78">
        <v>0</v>
      </c>
      <c r="BA78">
        <v>90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CX78">
        <f>Y78*Source!I48</f>
        <v>0.0040620000000000005</v>
      </c>
      <c r="CY78">
        <f>AA78</f>
        <v>22954.57</v>
      </c>
      <c r="CZ78">
        <f>AE78</f>
        <v>22954.57</v>
      </c>
      <c r="DA78">
        <f>AI78</f>
        <v>1</v>
      </c>
      <c r="DB78">
        <f>ROUND(ROUND(AT78*CZ78,2),2)</f>
        <v>137.73</v>
      </c>
      <c r="DC78">
        <f>ROUND(ROUND(AT78*AG78,2),2)</f>
        <v>0</v>
      </c>
    </row>
    <row r="79" spans="1:107" ht="12.75">
      <c r="A79">
        <f>ROW(Source!A48)</f>
        <v>48</v>
      </c>
      <c r="B79">
        <v>55668703</v>
      </c>
      <c r="C79">
        <v>55669077</v>
      </c>
      <c r="D79">
        <v>0</v>
      </c>
      <c r="E79">
        <v>0</v>
      </c>
      <c r="F79">
        <v>1</v>
      </c>
      <c r="G79">
        <v>1</v>
      </c>
      <c r="H79">
        <v>3</v>
      </c>
      <c r="I79" t="s">
        <v>79</v>
      </c>
      <c r="K79" t="s">
        <v>92</v>
      </c>
      <c r="L79">
        <v>1301</v>
      </c>
      <c r="N79">
        <v>1003</v>
      </c>
      <c r="O79" t="s">
        <v>93</v>
      </c>
      <c r="P79" t="s">
        <v>93</v>
      </c>
      <c r="Q79">
        <v>1</v>
      </c>
      <c r="W79">
        <v>0</v>
      </c>
      <c r="X79">
        <v>1239079577</v>
      </c>
      <c r="Y79">
        <v>100</v>
      </c>
      <c r="AA79">
        <v>2917</v>
      </c>
      <c r="AB79">
        <v>0</v>
      </c>
      <c r="AC79">
        <v>0</v>
      </c>
      <c r="AD79">
        <v>0</v>
      </c>
      <c r="AE79">
        <v>2917</v>
      </c>
      <c r="AF79">
        <v>0</v>
      </c>
      <c r="AG79">
        <v>0</v>
      </c>
      <c r="AH79">
        <v>0</v>
      </c>
      <c r="AI79">
        <v>1</v>
      </c>
      <c r="AJ79">
        <v>1</v>
      </c>
      <c r="AK79">
        <v>1</v>
      </c>
      <c r="AL79">
        <v>1</v>
      </c>
      <c r="AN79">
        <v>0</v>
      </c>
      <c r="AO79">
        <v>0</v>
      </c>
      <c r="AP79">
        <v>0</v>
      </c>
      <c r="AQ79">
        <v>0</v>
      </c>
      <c r="AR79">
        <v>0</v>
      </c>
      <c r="AT79">
        <v>100</v>
      </c>
      <c r="AV79">
        <v>0</v>
      </c>
      <c r="AW79">
        <v>1</v>
      </c>
      <c r="AX79">
        <v>-1</v>
      </c>
      <c r="AY79">
        <v>0</v>
      </c>
      <c r="AZ79">
        <v>0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CX79">
        <f>Y79*Source!I48</f>
        <v>67.7</v>
      </c>
      <c r="CY79">
        <f>AA79</f>
        <v>2917</v>
      </c>
      <c r="CZ79">
        <f>AE79</f>
        <v>2917</v>
      </c>
      <c r="DA79">
        <f>AI79</f>
        <v>1</v>
      </c>
      <c r="DB79">
        <f>ROUND(ROUND(AT79*CZ79,2),2)</f>
        <v>291700</v>
      </c>
      <c r="DC79">
        <f>ROUND(ROUND(AT79*AG79,2),2)</f>
        <v>0</v>
      </c>
    </row>
    <row r="80" spans="1:107" ht="12.75">
      <c r="A80">
        <f>ROW(Source!A49)</f>
        <v>49</v>
      </c>
      <c r="B80">
        <v>55668704</v>
      </c>
      <c r="C80">
        <v>55669077</v>
      </c>
      <c r="D80">
        <v>53630083</v>
      </c>
      <c r="E80">
        <v>70</v>
      </c>
      <c r="F80">
        <v>1</v>
      </c>
      <c r="G80">
        <v>1</v>
      </c>
      <c r="H80">
        <v>1</v>
      </c>
      <c r="I80" t="s">
        <v>316</v>
      </c>
      <c r="K80" t="s">
        <v>317</v>
      </c>
      <c r="L80">
        <v>1191</v>
      </c>
      <c r="N80">
        <v>1013</v>
      </c>
      <c r="O80" t="s">
        <v>279</v>
      </c>
      <c r="P80" t="s">
        <v>279</v>
      </c>
      <c r="Q80">
        <v>1</v>
      </c>
      <c r="W80">
        <v>0</v>
      </c>
      <c r="X80">
        <v>1893946532</v>
      </c>
      <c r="Y80">
        <v>38.065</v>
      </c>
      <c r="AA80">
        <v>0</v>
      </c>
      <c r="AB80">
        <v>0</v>
      </c>
      <c r="AC80">
        <v>0</v>
      </c>
      <c r="AD80">
        <v>338.67</v>
      </c>
      <c r="AE80">
        <v>0</v>
      </c>
      <c r="AF80">
        <v>0</v>
      </c>
      <c r="AG80">
        <v>0</v>
      </c>
      <c r="AH80">
        <v>9.07</v>
      </c>
      <c r="AI80">
        <v>1</v>
      </c>
      <c r="AJ80">
        <v>1</v>
      </c>
      <c r="AK80">
        <v>1</v>
      </c>
      <c r="AL80">
        <v>37.34</v>
      </c>
      <c r="AN80">
        <v>0</v>
      </c>
      <c r="AO80">
        <v>1</v>
      </c>
      <c r="AP80">
        <v>1</v>
      </c>
      <c r="AQ80">
        <v>0</v>
      </c>
      <c r="AR80">
        <v>0</v>
      </c>
      <c r="AT80">
        <v>33.1</v>
      </c>
      <c r="AU80" t="s">
        <v>73</v>
      </c>
      <c r="AV80">
        <v>1</v>
      </c>
      <c r="AW80">
        <v>2</v>
      </c>
      <c r="AX80">
        <v>55669081</v>
      </c>
      <c r="AY80">
        <v>1</v>
      </c>
      <c r="AZ80">
        <v>0</v>
      </c>
      <c r="BA80">
        <v>92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CX80">
        <f>Y80*Source!I49</f>
        <v>25.770005</v>
      </c>
      <c r="CY80">
        <f>AD80</f>
        <v>338.67</v>
      </c>
      <c r="CZ80">
        <f>AH80</f>
        <v>9.07</v>
      </c>
      <c r="DA80">
        <f>AL80</f>
        <v>37.34</v>
      </c>
      <c r="DB80">
        <f>ROUND((ROUND(AT80*CZ80,2)*ROUND(1.15,7)),2)</f>
        <v>345.25</v>
      </c>
      <c r="DC80">
        <f>ROUND((ROUND(AT80*AG80,2)*ROUND(1.15,7)),2)</f>
        <v>0</v>
      </c>
    </row>
    <row r="81" spans="1:107" ht="12.75">
      <c r="A81">
        <f>ROW(Source!A49)</f>
        <v>49</v>
      </c>
      <c r="B81">
        <v>55668704</v>
      </c>
      <c r="C81">
        <v>55669077</v>
      </c>
      <c r="D81">
        <v>53644879</v>
      </c>
      <c r="E81">
        <v>1</v>
      </c>
      <c r="F81">
        <v>1</v>
      </c>
      <c r="G81">
        <v>1</v>
      </c>
      <c r="H81">
        <v>3</v>
      </c>
      <c r="I81" t="s">
        <v>318</v>
      </c>
      <c r="J81" t="s">
        <v>319</v>
      </c>
      <c r="K81" t="s">
        <v>320</v>
      </c>
      <c r="L81">
        <v>1348</v>
      </c>
      <c r="N81">
        <v>1009</v>
      </c>
      <c r="O81" t="s">
        <v>41</v>
      </c>
      <c r="P81" t="s">
        <v>41</v>
      </c>
      <c r="Q81">
        <v>1000</v>
      </c>
      <c r="W81">
        <v>0</v>
      </c>
      <c r="X81">
        <v>630459482</v>
      </c>
      <c r="Y81">
        <v>0.006</v>
      </c>
      <c r="AA81">
        <v>154254.71</v>
      </c>
      <c r="AB81">
        <v>0</v>
      </c>
      <c r="AC81">
        <v>0</v>
      </c>
      <c r="AD81">
        <v>0</v>
      </c>
      <c r="AE81">
        <v>22954.57</v>
      </c>
      <c r="AF81">
        <v>0</v>
      </c>
      <c r="AG81">
        <v>0</v>
      </c>
      <c r="AH81">
        <v>0</v>
      </c>
      <c r="AI81">
        <v>6.72</v>
      </c>
      <c r="AJ81">
        <v>1</v>
      </c>
      <c r="AK81">
        <v>1</v>
      </c>
      <c r="AL81">
        <v>1</v>
      </c>
      <c r="AN81">
        <v>0</v>
      </c>
      <c r="AO81">
        <v>1</v>
      </c>
      <c r="AP81">
        <v>0</v>
      </c>
      <c r="AQ81">
        <v>0</v>
      </c>
      <c r="AR81">
        <v>0</v>
      </c>
      <c r="AT81">
        <v>0.006</v>
      </c>
      <c r="AV81">
        <v>0</v>
      </c>
      <c r="AW81">
        <v>2</v>
      </c>
      <c r="AX81">
        <v>55669082</v>
      </c>
      <c r="AY81">
        <v>1</v>
      </c>
      <c r="AZ81">
        <v>0</v>
      </c>
      <c r="BA81">
        <v>93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CX81">
        <f>Y81*Source!I49</f>
        <v>0.0040620000000000005</v>
      </c>
      <c r="CY81">
        <f>AA81</f>
        <v>154254.71</v>
      </c>
      <c r="CZ81">
        <f>AE81</f>
        <v>22954.57</v>
      </c>
      <c r="DA81">
        <f>AI81</f>
        <v>6.72</v>
      </c>
      <c r="DB81">
        <f>ROUND(ROUND(AT81*CZ81,2),2)</f>
        <v>137.73</v>
      </c>
      <c r="DC81">
        <f>ROUND(ROUND(AT81*AG81,2),2)</f>
        <v>0</v>
      </c>
    </row>
    <row r="82" spans="1:107" ht="12.75">
      <c r="A82">
        <f>ROW(Source!A49)</f>
        <v>49</v>
      </c>
      <c r="B82">
        <v>55668704</v>
      </c>
      <c r="C82">
        <v>55669077</v>
      </c>
      <c r="D82">
        <v>0</v>
      </c>
      <c r="E82">
        <v>0</v>
      </c>
      <c r="F82">
        <v>1</v>
      </c>
      <c r="G82">
        <v>1</v>
      </c>
      <c r="H82">
        <v>3</v>
      </c>
      <c r="I82" t="s">
        <v>79</v>
      </c>
      <c r="K82" t="s">
        <v>92</v>
      </c>
      <c r="L82">
        <v>1301</v>
      </c>
      <c r="N82">
        <v>1003</v>
      </c>
      <c r="O82" t="s">
        <v>93</v>
      </c>
      <c r="P82" t="s">
        <v>93</v>
      </c>
      <c r="Q82">
        <v>1</v>
      </c>
      <c r="W82">
        <v>0</v>
      </c>
      <c r="X82">
        <v>1239079577</v>
      </c>
      <c r="Y82">
        <v>100</v>
      </c>
      <c r="AA82">
        <v>2917</v>
      </c>
      <c r="AB82">
        <v>0</v>
      </c>
      <c r="AC82">
        <v>0</v>
      </c>
      <c r="AD82">
        <v>0</v>
      </c>
      <c r="AE82">
        <v>2917</v>
      </c>
      <c r="AF82">
        <v>0</v>
      </c>
      <c r="AG82">
        <v>0</v>
      </c>
      <c r="AH82">
        <v>0</v>
      </c>
      <c r="AI82">
        <v>1</v>
      </c>
      <c r="AJ82">
        <v>1</v>
      </c>
      <c r="AK82">
        <v>1</v>
      </c>
      <c r="AL82">
        <v>1</v>
      </c>
      <c r="AN82">
        <v>0</v>
      </c>
      <c r="AO82">
        <v>0</v>
      </c>
      <c r="AP82">
        <v>0</v>
      </c>
      <c r="AQ82">
        <v>0</v>
      </c>
      <c r="AR82">
        <v>0</v>
      </c>
      <c r="AT82">
        <v>100</v>
      </c>
      <c r="AV82">
        <v>0</v>
      </c>
      <c r="AW82">
        <v>1</v>
      </c>
      <c r="AX82">
        <v>-1</v>
      </c>
      <c r="AY82">
        <v>0</v>
      </c>
      <c r="AZ82">
        <v>0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CX82">
        <f>Y82*Source!I49</f>
        <v>67.7</v>
      </c>
      <c r="CY82">
        <f>AA82</f>
        <v>2917</v>
      </c>
      <c r="CZ82">
        <f>AE82</f>
        <v>2917</v>
      </c>
      <c r="DA82">
        <f>AI82</f>
        <v>1</v>
      </c>
      <c r="DB82">
        <f>ROUND(ROUND(AT82*CZ82,2),2)</f>
        <v>291700</v>
      </c>
      <c r="DC82">
        <f>ROUND(ROUND(AT82*AG82,2),2)</f>
        <v>0</v>
      </c>
    </row>
    <row r="83" spans="1:107" ht="12.75">
      <c r="A83">
        <f>ROW(Source!A52)</f>
        <v>52</v>
      </c>
      <c r="B83">
        <v>55668703</v>
      </c>
      <c r="C83">
        <v>55669112</v>
      </c>
      <c r="D83">
        <v>53630067</v>
      </c>
      <c r="E83">
        <v>70</v>
      </c>
      <c r="F83">
        <v>1</v>
      </c>
      <c r="G83">
        <v>1</v>
      </c>
      <c r="H83">
        <v>1</v>
      </c>
      <c r="I83" t="s">
        <v>321</v>
      </c>
      <c r="K83" t="s">
        <v>322</v>
      </c>
      <c r="L83">
        <v>1191</v>
      </c>
      <c r="N83">
        <v>1013</v>
      </c>
      <c r="O83" t="s">
        <v>279</v>
      </c>
      <c r="P83" t="s">
        <v>279</v>
      </c>
      <c r="Q83">
        <v>1</v>
      </c>
      <c r="W83">
        <v>0</v>
      </c>
      <c r="X83">
        <v>1049124552</v>
      </c>
      <c r="Y83">
        <v>19.136</v>
      </c>
      <c r="AA83">
        <v>0</v>
      </c>
      <c r="AB83">
        <v>0</v>
      </c>
      <c r="AC83">
        <v>0</v>
      </c>
      <c r="AD83">
        <v>8.53</v>
      </c>
      <c r="AE83">
        <v>0</v>
      </c>
      <c r="AF83">
        <v>0</v>
      </c>
      <c r="AG83">
        <v>0</v>
      </c>
      <c r="AH83">
        <v>8.53</v>
      </c>
      <c r="AI83">
        <v>1</v>
      </c>
      <c r="AJ83">
        <v>1</v>
      </c>
      <c r="AK83">
        <v>1</v>
      </c>
      <c r="AL83">
        <v>1</v>
      </c>
      <c r="AN83">
        <v>0</v>
      </c>
      <c r="AO83">
        <v>1</v>
      </c>
      <c r="AP83">
        <v>1</v>
      </c>
      <c r="AQ83">
        <v>0</v>
      </c>
      <c r="AR83">
        <v>0</v>
      </c>
      <c r="AT83">
        <v>16.64</v>
      </c>
      <c r="AU83" t="s">
        <v>73</v>
      </c>
      <c r="AV83">
        <v>1</v>
      </c>
      <c r="AW83">
        <v>2</v>
      </c>
      <c r="AX83">
        <v>55669116</v>
      </c>
      <c r="AY83">
        <v>1</v>
      </c>
      <c r="AZ83">
        <v>0</v>
      </c>
      <c r="BA83">
        <v>95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CX83">
        <f>Y83*Source!I52</f>
        <v>0.5740799999999999</v>
      </c>
      <c r="CY83">
        <f>AD83</f>
        <v>8.53</v>
      </c>
      <c r="CZ83">
        <f>AH83</f>
        <v>8.53</v>
      </c>
      <c r="DA83">
        <f>AL83</f>
        <v>1</v>
      </c>
      <c r="DB83">
        <f>ROUND((ROUND(AT83*CZ83,2)*ROUND(1.15,7)),2)</f>
        <v>163.23</v>
      </c>
      <c r="DC83">
        <f>ROUND((ROUND(AT83*AG83,2)*ROUND(1.15,7)),2)</f>
        <v>0</v>
      </c>
    </row>
    <row r="84" spans="1:107" ht="12.75">
      <c r="A84">
        <f>ROW(Source!A52)</f>
        <v>52</v>
      </c>
      <c r="B84">
        <v>55668703</v>
      </c>
      <c r="C84">
        <v>55669112</v>
      </c>
      <c r="D84">
        <v>53644872</v>
      </c>
      <c r="E84">
        <v>1</v>
      </c>
      <c r="F84">
        <v>1</v>
      </c>
      <c r="G84">
        <v>1</v>
      </c>
      <c r="H84">
        <v>3</v>
      </c>
      <c r="I84" t="s">
        <v>323</v>
      </c>
      <c r="J84" t="s">
        <v>324</v>
      </c>
      <c r="K84" t="s">
        <v>325</v>
      </c>
      <c r="L84">
        <v>1425</v>
      </c>
      <c r="N84">
        <v>1013</v>
      </c>
      <c r="O84" t="s">
        <v>125</v>
      </c>
      <c r="P84" t="s">
        <v>125</v>
      </c>
      <c r="Q84">
        <v>1</v>
      </c>
      <c r="W84">
        <v>0</v>
      </c>
      <c r="X84">
        <v>-1109928473</v>
      </c>
      <c r="Y84">
        <v>6.7</v>
      </c>
      <c r="AA84">
        <v>12</v>
      </c>
      <c r="AB84">
        <v>0</v>
      </c>
      <c r="AC84">
        <v>0</v>
      </c>
      <c r="AD84">
        <v>0</v>
      </c>
      <c r="AE84">
        <v>12</v>
      </c>
      <c r="AF84">
        <v>0</v>
      </c>
      <c r="AG84">
        <v>0</v>
      </c>
      <c r="AH84">
        <v>0</v>
      </c>
      <c r="AI84">
        <v>1</v>
      </c>
      <c r="AJ84">
        <v>1</v>
      </c>
      <c r="AK84">
        <v>1</v>
      </c>
      <c r="AL84">
        <v>1</v>
      </c>
      <c r="AN84">
        <v>0</v>
      </c>
      <c r="AO84">
        <v>1</v>
      </c>
      <c r="AP84">
        <v>0</v>
      </c>
      <c r="AQ84">
        <v>0</v>
      </c>
      <c r="AR84">
        <v>0</v>
      </c>
      <c r="AT84">
        <v>6.7</v>
      </c>
      <c r="AV84">
        <v>0</v>
      </c>
      <c r="AW84">
        <v>2</v>
      </c>
      <c r="AX84">
        <v>55669117</v>
      </c>
      <c r="AY84">
        <v>1</v>
      </c>
      <c r="AZ84">
        <v>0</v>
      </c>
      <c r="BA84">
        <v>96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CX84">
        <f>Y84*Source!I52</f>
        <v>0.20099999999999998</v>
      </c>
      <c r="CY84">
        <f>AA84</f>
        <v>12</v>
      </c>
      <c r="CZ84">
        <f>AE84</f>
        <v>12</v>
      </c>
      <c r="DA84">
        <f>AI84</f>
        <v>1</v>
      </c>
      <c r="DB84">
        <f>ROUND(ROUND(AT84*CZ84,2),2)</f>
        <v>80.4</v>
      </c>
      <c r="DC84">
        <f>ROUND(ROUND(AT84*AG84,2),2)</f>
        <v>0</v>
      </c>
    </row>
    <row r="85" spans="1:107" ht="12.75">
      <c r="A85">
        <f>ROW(Source!A52)</f>
        <v>52</v>
      </c>
      <c r="B85">
        <v>55668703</v>
      </c>
      <c r="C85">
        <v>55669112</v>
      </c>
      <c r="D85">
        <v>37854500</v>
      </c>
      <c r="E85">
        <v>1</v>
      </c>
      <c r="F85">
        <v>1</v>
      </c>
      <c r="G85">
        <v>1</v>
      </c>
      <c r="H85">
        <v>3</v>
      </c>
      <c r="I85" t="s">
        <v>103</v>
      </c>
      <c r="J85" t="s">
        <v>105</v>
      </c>
      <c r="K85" t="s">
        <v>104</v>
      </c>
      <c r="L85">
        <v>1301</v>
      </c>
      <c r="N85">
        <v>1003</v>
      </c>
      <c r="O85" t="s">
        <v>93</v>
      </c>
      <c r="P85" t="s">
        <v>93</v>
      </c>
      <c r="Q85">
        <v>1</v>
      </c>
      <c r="W85">
        <v>0</v>
      </c>
      <c r="X85">
        <v>-208962189</v>
      </c>
      <c r="Y85">
        <v>105</v>
      </c>
      <c r="AA85">
        <v>22.58</v>
      </c>
      <c r="AB85">
        <v>0</v>
      </c>
      <c r="AC85">
        <v>0</v>
      </c>
      <c r="AD85">
        <v>0</v>
      </c>
      <c r="AE85">
        <v>22.58</v>
      </c>
      <c r="AF85">
        <v>0</v>
      </c>
      <c r="AG85">
        <v>0</v>
      </c>
      <c r="AH85">
        <v>0</v>
      </c>
      <c r="AI85">
        <v>1</v>
      </c>
      <c r="AJ85">
        <v>1</v>
      </c>
      <c r="AK85">
        <v>1</v>
      </c>
      <c r="AL85">
        <v>1</v>
      </c>
      <c r="AN85">
        <v>0</v>
      </c>
      <c r="AO85">
        <v>0</v>
      </c>
      <c r="AP85">
        <v>0</v>
      </c>
      <c r="AQ85">
        <v>0</v>
      </c>
      <c r="AR85">
        <v>0</v>
      </c>
      <c r="AT85">
        <v>105</v>
      </c>
      <c r="AV85">
        <v>0</v>
      </c>
      <c r="AW85">
        <v>1</v>
      </c>
      <c r="AX85">
        <v>-1</v>
      </c>
      <c r="AY85">
        <v>0</v>
      </c>
      <c r="AZ85">
        <v>0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CX85">
        <f>Y85*Source!I52</f>
        <v>3.15</v>
      </c>
      <c r="CY85">
        <f>AA85</f>
        <v>22.58</v>
      </c>
      <c r="CZ85">
        <f>AE85</f>
        <v>22.58</v>
      </c>
      <c r="DA85">
        <f>AI85</f>
        <v>1</v>
      </c>
      <c r="DB85">
        <f>ROUND(ROUND(AT85*CZ85,2),2)</f>
        <v>2370.9</v>
      </c>
      <c r="DC85">
        <f>ROUND(ROUND(AT85*AG85,2),2)</f>
        <v>0</v>
      </c>
    </row>
    <row r="86" spans="1:107" ht="12.75">
      <c r="A86">
        <f>ROW(Source!A53)</f>
        <v>53</v>
      </c>
      <c r="B86">
        <v>55668704</v>
      </c>
      <c r="C86">
        <v>55669112</v>
      </c>
      <c r="D86">
        <v>53630067</v>
      </c>
      <c r="E86">
        <v>70</v>
      </c>
      <c r="F86">
        <v>1</v>
      </c>
      <c r="G86">
        <v>1</v>
      </c>
      <c r="H86">
        <v>1</v>
      </c>
      <c r="I86" t="s">
        <v>321</v>
      </c>
      <c r="K86" t="s">
        <v>322</v>
      </c>
      <c r="L86">
        <v>1191</v>
      </c>
      <c r="N86">
        <v>1013</v>
      </c>
      <c r="O86" t="s">
        <v>279</v>
      </c>
      <c r="P86" t="s">
        <v>279</v>
      </c>
      <c r="Q86">
        <v>1</v>
      </c>
      <c r="W86">
        <v>0</v>
      </c>
      <c r="X86">
        <v>1049124552</v>
      </c>
      <c r="Y86">
        <v>19.136</v>
      </c>
      <c r="AA86">
        <v>0</v>
      </c>
      <c r="AB86">
        <v>0</v>
      </c>
      <c r="AC86">
        <v>0</v>
      </c>
      <c r="AD86">
        <v>318.51</v>
      </c>
      <c r="AE86">
        <v>0</v>
      </c>
      <c r="AF86">
        <v>0</v>
      </c>
      <c r="AG86">
        <v>0</v>
      </c>
      <c r="AH86">
        <v>8.53</v>
      </c>
      <c r="AI86">
        <v>1</v>
      </c>
      <c r="AJ86">
        <v>1</v>
      </c>
      <c r="AK86">
        <v>1</v>
      </c>
      <c r="AL86">
        <v>37.34</v>
      </c>
      <c r="AN86">
        <v>0</v>
      </c>
      <c r="AO86">
        <v>1</v>
      </c>
      <c r="AP86">
        <v>1</v>
      </c>
      <c r="AQ86">
        <v>0</v>
      </c>
      <c r="AR86">
        <v>0</v>
      </c>
      <c r="AT86">
        <v>16.64</v>
      </c>
      <c r="AU86" t="s">
        <v>73</v>
      </c>
      <c r="AV86">
        <v>1</v>
      </c>
      <c r="AW86">
        <v>2</v>
      </c>
      <c r="AX86">
        <v>55669116</v>
      </c>
      <c r="AY86">
        <v>1</v>
      </c>
      <c r="AZ86">
        <v>0</v>
      </c>
      <c r="BA86">
        <v>98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CX86">
        <f>Y86*Source!I53</f>
        <v>0.5740799999999999</v>
      </c>
      <c r="CY86">
        <f>AD86</f>
        <v>318.51</v>
      </c>
      <c r="CZ86">
        <f>AH86</f>
        <v>8.53</v>
      </c>
      <c r="DA86">
        <f>AL86</f>
        <v>37.34</v>
      </c>
      <c r="DB86">
        <f>ROUND((ROUND(AT86*CZ86,2)*ROUND(1.15,7)),2)</f>
        <v>163.23</v>
      </c>
      <c r="DC86">
        <f>ROUND((ROUND(AT86*AG86,2)*ROUND(1.15,7)),2)</f>
        <v>0</v>
      </c>
    </row>
    <row r="87" spans="1:107" ht="12.75">
      <c r="A87">
        <f>ROW(Source!A53)</f>
        <v>53</v>
      </c>
      <c r="B87">
        <v>55668704</v>
      </c>
      <c r="C87">
        <v>55669112</v>
      </c>
      <c r="D87">
        <v>53644872</v>
      </c>
      <c r="E87">
        <v>1</v>
      </c>
      <c r="F87">
        <v>1</v>
      </c>
      <c r="G87">
        <v>1</v>
      </c>
      <c r="H87">
        <v>3</v>
      </c>
      <c r="I87" t="s">
        <v>323</v>
      </c>
      <c r="J87" t="s">
        <v>324</v>
      </c>
      <c r="K87" t="s">
        <v>325</v>
      </c>
      <c r="L87">
        <v>1425</v>
      </c>
      <c r="N87">
        <v>1013</v>
      </c>
      <c r="O87" t="s">
        <v>125</v>
      </c>
      <c r="P87" t="s">
        <v>125</v>
      </c>
      <c r="Q87">
        <v>1</v>
      </c>
      <c r="W87">
        <v>0</v>
      </c>
      <c r="X87">
        <v>-1109928473</v>
      </c>
      <c r="Y87">
        <v>6.7</v>
      </c>
      <c r="AA87">
        <v>80.64</v>
      </c>
      <c r="AB87">
        <v>0</v>
      </c>
      <c r="AC87">
        <v>0</v>
      </c>
      <c r="AD87">
        <v>0</v>
      </c>
      <c r="AE87">
        <v>12</v>
      </c>
      <c r="AF87">
        <v>0</v>
      </c>
      <c r="AG87">
        <v>0</v>
      </c>
      <c r="AH87">
        <v>0</v>
      </c>
      <c r="AI87">
        <v>6.72</v>
      </c>
      <c r="AJ87">
        <v>1</v>
      </c>
      <c r="AK87">
        <v>1</v>
      </c>
      <c r="AL87">
        <v>1</v>
      </c>
      <c r="AN87">
        <v>0</v>
      </c>
      <c r="AO87">
        <v>1</v>
      </c>
      <c r="AP87">
        <v>0</v>
      </c>
      <c r="AQ87">
        <v>0</v>
      </c>
      <c r="AR87">
        <v>0</v>
      </c>
      <c r="AT87">
        <v>6.7</v>
      </c>
      <c r="AV87">
        <v>0</v>
      </c>
      <c r="AW87">
        <v>2</v>
      </c>
      <c r="AX87">
        <v>55669117</v>
      </c>
      <c r="AY87">
        <v>1</v>
      </c>
      <c r="AZ87">
        <v>0</v>
      </c>
      <c r="BA87">
        <v>99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CX87">
        <f>Y87*Source!I53</f>
        <v>0.20099999999999998</v>
      </c>
      <c r="CY87">
        <f>AA87</f>
        <v>80.64</v>
      </c>
      <c r="CZ87">
        <f>AE87</f>
        <v>12</v>
      </c>
      <c r="DA87">
        <f>AI87</f>
        <v>6.72</v>
      </c>
      <c r="DB87">
        <f>ROUND(ROUND(AT87*CZ87,2),2)</f>
        <v>80.4</v>
      </c>
      <c r="DC87">
        <f>ROUND(ROUND(AT87*AG87,2),2)</f>
        <v>0</v>
      </c>
    </row>
    <row r="88" spans="1:107" ht="12.75">
      <c r="A88">
        <f>ROW(Source!A53)</f>
        <v>53</v>
      </c>
      <c r="B88">
        <v>55668704</v>
      </c>
      <c r="C88">
        <v>55669112</v>
      </c>
      <c r="D88">
        <v>37854500</v>
      </c>
      <c r="E88">
        <v>1</v>
      </c>
      <c r="F88">
        <v>1</v>
      </c>
      <c r="G88">
        <v>1</v>
      </c>
      <c r="H88">
        <v>3</v>
      </c>
      <c r="I88" t="s">
        <v>103</v>
      </c>
      <c r="J88" t="s">
        <v>105</v>
      </c>
      <c r="K88" t="s">
        <v>104</v>
      </c>
      <c r="L88">
        <v>1301</v>
      </c>
      <c r="N88">
        <v>1003</v>
      </c>
      <c r="O88" t="s">
        <v>93</v>
      </c>
      <c r="P88" t="s">
        <v>93</v>
      </c>
      <c r="Q88">
        <v>1</v>
      </c>
      <c r="W88">
        <v>0</v>
      </c>
      <c r="X88">
        <v>-208962189</v>
      </c>
      <c r="Y88">
        <v>105</v>
      </c>
      <c r="AA88">
        <v>151.74</v>
      </c>
      <c r="AB88">
        <v>0</v>
      </c>
      <c r="AC88">
        <v>0</v>
      </c>
      <c r="AD88">
        <v>0</v>
      </c>
      <c r="AE88">
        <v>22.58</v>
      </c>
      <c r="AF88">
        <v>0</v>
      </c>
      <c r="AG88">
        <v>0</v>
      </c>
      <c r="AH88">
        <v>0</v>
      </c>
      <c r="AI88">
        <v>6.72</v>
      </c>
      <c r="AJ88">
        <v>1</v>
      </c>
      <c r="AK88">
        <v>1</v>
      </c>
      <c r="AL88">
        <v>1</v>
      </c>
      <c r="AN88">
        <v>0</v>
      </c>
      <c r="AO88">
        <v>0</v>
      </c>
      <c r="AP88">
        <v>0</v>
      </c>
      <c r="AQ88">
        <v>0</v>
      </c>
      <c r="AR88">
        <v>0</v>
      </c>
      <c r="AT88">
        <v>105</v>
      </c>
      <c r="AV88">
        <v>0</v>
      </c>
      <c r="AW88">
        <v>1</v>
      </c>
      <c r="AX88">
        <v>-1</v>
      </c>
      <c r="AY88">
        <v>0</v>
      </c>
      <c r="AZ88">
        <v>0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CX88">
        <f>Y88*Source!I53</f>
        <v>3.15</v>
      </c>
      <c r="CY88">
        <f>AA88</f>
        <v>151.74</v>
      </c>
      <c r="CZ88">
        <f>AE88</f>
        <v>22.58</v>
      </c>
      <c r="DA88">
        <f>AI88</f>
        <v>6.72</v>
      </c>
      <c r="DB88">
        <f>ROUND(ROUND(AT88*CZ88,2),2)</f>
        <v>2370.9</v>
      </c>
      <c r="DC88">
        <f>ROUND(ROUND(AT88*AG88,2),2)</f>
        <v>0</v>
      </c>
    </row>
    <row r="89" spans="1:107" ht="12.75">
      <c r="A89">
        <f>ROW(Source!A56)</f>
        <v>56</v>
      </c>
      <c r="B89">
        <v>55668703</v>
      </c>
      <c r="C89">
        <v>55669120</v>
      </c>
      <c r="D89">
        <v>53630101</v>
      </c>
      <c r="E89">
        <v>70</v>
      </c>
      <c r="F89">
        <v>1</v>
      </c>
      <c r="G89">
        <v>1</v>
      </c>
      <c r="H89">
        <v>1</v>
      </c>
      <c r="I89" t="s">
        <v>326</v>
      </c>
      <c r="K89" t="s">
        <v>327</v>
      </c>
      <c r="L89">
        <v>1191</v>
      </c>
      <c r="N89">
        <v>1013</v>
      </c>
      <c r="O89" t="s">
        <v>279</v>
      </c>
      <c r="P89" t="s">
        <v>279</v>
      </c>
      <c r="Q89">
        <v>1</v>
      </c>
      <c r="W89">
        <v>0</v>
      </c>
      <c r="X89">
        <v>-2012709214</v>
      </c>
      <c r="Y89">
        <v>92.11499999999998</v>
      </c>
      <c r="AA89">
        <v>0</v>
      </c>
      <c r="AB89">
        <v>0</v>
      </c>
      <c r="AC89">
        <v>0</v>
      </c>
      <c r="AD89">
        <v>9.4</v>
      </c>
      <c r="AE89">
        <v>0</v>
      </c>
      <c r="AF89">
        <v>0</v>
      </c>
      <c r="AG89">
        <v>0</v>
      </c>
      <c r="AH89">
        <v>9.4</v>
      </c>
      <c r="AI89">
        <v>1</v>
      </c>
      <c r="AJ89">
        <v>1</v>
      </c>
      <c r="AK89">
        <v>1</v>
      </c>
      <c r="AL89">
        <v>1</v>
      </c>
      <c r="AN89">
        <v>0</v>
      </c>
      <c r="AO89">
        <v>1</v>
      </c>
      <c r="AP89">
        <v>1</v>
      </c>
      <c r="AQ89">
        <v>0</v>
      </c>
      <c r="AR89">
        <v>0</v>
      </c>
      <c r="AT89">
        <v>80.1</v>
      </c>
      <c r="AU89" t="s">
        <v>73</v>
      </c>
      <c r="AV89">
        <v>1</v>
      </c>
      <c r="AW89">
        <v>2</v>
      </c>
      <c r="AX89">
        <v>55669132</v>
      </c>
      <c r="AY89">
        <v>1</v>
      </c>
      <c r="AZ89">
        <v>0</v>
      </c>
      <c r="BA89">
        <v>101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CX89">
        <f>Y89*Source!I56</f>
        <v>5.876936999999998</v>
      </c>
      <c r="CY89">
        <f>AD89</f>
        <v>9.4</v>
      </c>
      <c r="CZ89">
        <f>AH89</f>
        <v>9.4</v>
      </c>
      <c r="DA89">
        <f>AL89</f>
        <v>1</v>
      </c>
      <c r="DB89">
        <f>ROUND((ROUND(AT89*CZ89,2)*ROUND(1.15,7)),2)</f>
        <v>865.88</v>
      </c>
      <c r="DC89">
        <f>ROUND((ROUND(AT89*AG89,2)*ROUND(1.15,7)),2)</f>
        <v>0</v>
      </c>
    </row>
    <row r="90" spans="1:107" ht="12.75">
      <c r="A90">
        <f>ROW(Source!A56)</f>
        <v>56</v>
      </c>
      <c r="B90">
        <v>55668703</v>
      </c>
      <c r="C90">
        <v>55669120</v>
      </c>
      <c r="D90">
        <v>53630257</v>
      </c>
      <c r="E90">
        <v>70</v>
      </c>
      <c r="F90">
        <v>1</v>
      </c>
      <c r="G90">
        <v>1</v>
      </c>
      <c r="H90">
        <v>1</v>
      </c>
      <c r="I90" t="s">
        <v>280</v>
      </c>
      <c r="K90" t="s">
        <v>281</v>
      </c>
      <c r="L90">
        <v>1191</v>
      </c>
      <c r="N90">
        <v>1013</v>
      </c>
      <c r="O90" t="s">
        <v>279</v>
      </c>
      <c r="P90" t="s">
        <v>279</v>
      </c>
      <c r="Q90">
        <v>1</v>
      </c>
      <c r="W90">
        <v>0</v>
      </c>
      <c r="X90">
        <v>-1417349443</v>
      </c>
      <c r="Y90">
        <v>12.8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1</v>
      </c>
      <c r="AJ90">
        <v>1</v>
      </c>
      <c r="AK90">
        <v>1</v>
      </c>
      <c r="AL90">
        <v>1</v>
      </c>
      <c r="AN90">
        <v>0</v>
      </c>
      <c r="AO90">
        <v>1</v>
      </c>
      <c r="AP90">
        <v>1</v>
      </c>
      <c r="AQ90">
        <v>0</v>
      </c>
      <c r="AR90">
        <v>0</v>
      </c>
      <c r="AT90">
        <v>10.24</v>
      </c>
      <c r="AU90" t="s">
        <v>72</v>
      </c>
      <c r="AV90">
        <v>2</v>
      </c>
      <c r="AW90">
        <v>2</v>
      </c>
      <c r="AX90">
        <v>55669133</v>
      </c>
      <c r="AY90">
        <v>1</v>
      </c>
      <c r="AZ90">
        <v>0</v>
      </c>
      <c r="BA90">
        <v>102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CX90">
        <f>Y90*Source!I56</f>
        <v>0.81664</v>
      </c>
      <c r="CY90">
        <f>AD90</f>
        <v>0</v>
      </c>
      <c r="CZ90">
        <f>AH90</f>
        <v>0</v>
      </c>
      <c r="DA90">
        <f>AL90</f>
        <v>1</v>
      </c>
      <c r="DB90">
        <f>ROUND((ROUND(AT90*CZ90,2)*ROUND(1.25,7)),2)</f>
        <v>0</v>
      </c>
      <c r="DC90">
        <f>ROUND((ROUND(AT90*AG90,2)*ROUND(1.25,7)),2)</f>
        <v>0</v>
      </c>
    </row>
    <row r="91" spans="1:107" ht="12.75">
      <c r="A91">
        <f>ROW(Source!A56)</f>
        <v>56</v>
      </c>
      <c r="B91">
        <v>55668703</v>
      </c>
      <c r="C91">
        <v>55669120</v>
      </c>
      <c r="D91">
        <v>53791939</v>
      </c>
      <c r="E91">
        <v>1</v>
      </c>
      <c r="F91">
        <v>1</v>
      </c>
      <c r="G91">
        <v>1</v>
      </c>
      <c r="H91">
        <v>2</v>
      </c>
      <c r="I91" t="s">
        <v>328</v>
      </c>
      <c r="J91" t="s">
        <v>329</v>
      </c>
      <c r="K91" t="s">
        <v>330</v>
      </c>
      <c r="L91">
        <v>1367</v>
      </c>
      <c r="N91">
        <v>1011</v>
      </c>
      <c r="O91" t="s">
        <v>285</v>
      </c>
      <c r="P91" t="s">
        <v>285</v>
      </c>
      <c r="Q91">
        <v>1</v>
      </c>
      <c r="W91">
        <v>0</v>
      </c>
      <c r="X91">
        <v>-130837057</v>
      </c>
      <c r="Y91">
        <v>8.85</v>
      </c>
      <c r="AA91">
        <v>0</v>
      </c>
      <c r="AB91">
        <v>86.4</v>
      </c>
      <c r="AC91">
        <v>13.5</v>
      </c>
      <c r="AD91">
        <v>0</v>
      </c>
      <c r="AE91">
        <v>0</v>
      </c>
      <c r="AF91">
        <v>86.4</v>
      </c>
      <c r="AG91">
        <v>13.5</v>
      </c>
      <c r="AH91">
        <v>0</v>
      </c>
      <c r="AI91">
        <v>1</v>
      </c>
      <c r="AJ91">
        <v>1</v>
      </c>
      <c r="AK91">
        <v>1</v>
      </c>
      <c r="AL91">
        <v>1</v>
      </c>
      <c r="AN91">
        <v>0</v>
      </c>
      <c r="AO91">
        <v>1</v>
      </c>
      <c r="AP91">
        <v>1</v>
      </c>
      <c r="AQ91">
        <v>0</v>
      </c>
      <c r="AR91">
        <v>0</v>
      </c>
      <c r="AT91">
        <v>7.08</v>
      </c>
      <c r="AU91" t="s">
        <v>72</v>
      </c>
      <c r="AV91">
        <v>0</v>
      </c>
      <c r="AW91">
        <v>2</v>
      </c>
      <c r="AX91">
        <v>55669134</v>
      </c>
      <c r="AY91">
        <v>1</v>
      </c>
      <c r="AZ91">
        <v>0</v>
      </c>
      <c r="BA91">
        <v>103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CX91">
        <f>Y91*Source!I56</f>
        <v>0.56463</v>
      </c>
      <c r="CY91">
        <f>AB91</f>
        <v>86.4</v>
      </c>
      <c r="CZ91">
        <f>AF91</f>
        <v>86.4</v>
      </c>
      <c r="DA91">
        <f>AJ91</f>
        <v>1</v>
      </c>
      <c r="DB91">
        <f>ROUND((ROUND(AT91*CZ91,2)*ROUND(1.25,7)),2)</f>
        <v>764.64</v>
      </c>
      <c r="DC91">
        <f>ROUND((ROUND(AT91*AG91,2)*ROUND(1.25,7)),2)</f>
        <v>119.48</v>
      </c>
    </row>
    <row r="92" spans="1:107" ht="12.75">
      <c r="A92">
        <f>ROW(Source!A56)</f>
        <v>56</v>
      </c>
      <c r="B92">
        <v>55668703</v>
      </c>
      <c r="C92">
        <v>55669120</v>
      </c>
      <c r="D92">
        <v>53791997</v>
      </c>
      <c r="E92">
        <v>1</v>
      </c>
      <c r="F92">
        <v>1</v>
      </c>
      <c r="G92">
        <v>1</v>
      </c>
      <c r="H92">
        <v>2</v>
      </c>
      <c r="I92" t="s">
        <v>282</v>
      </c>
      <c r="J92" t="s">
        <v>283</v>
      </c>
      <c r="K92" t="s">
        <v>284</v>
      </c>
      <c r="L92">
        <v>1367</v>
      </c>
      <c r="N92">
        <v>1011</v>
      </c>
      <c r="O92" t="s">
        <v>285</v>
      </c>
      <c r="P92" t="s">
        <v>285</v>
      </c>
      <c r="Q92">
        <v>1</v>
      </c>
      <c r="W92">
        <v>0</v>
      </c>
      <c r="X92">
        <v>-430484415</v>
      </c>
      <c r="Y92">
        <v>1.575</v>
      </c>
      <c r="AA92">
        <v>0</v>
      </c>
      <c r="AB92">
        <v>115.4</v>
      </c>
      <c r="AC92">
        <v>13.5</v>
      </c>
      <c r="AD92">
        <v>0</v>
      </c>
      <c r="AE92">
        <v>0</v>
      </c>
      <c r="AF92">
        <v>115.4</v>
      </c>
      <c r="AG92">
        <v>13.5</v>
      </c>
      <c r="AH92">
        <v>0</v>
      </c>
      <c r="AI92">
        <v>1</v>
      </c>
      <c r="AJ92">
        <v>1</v>
      </c>
      <c r="AK92">
        <v>1</v>
      </c>
      <c r="AL92">
        <v>1</v>
      </c>
      <c r="AN92">
        <v>0</v>
      </c>
      <c r="AO92">
        <v>1</v>
      </c>
      <c r="AP92">
        <v>1</v>
      </c>
      <c r="AQ92">
        <v>0</v>
      </c>
      <c r="AR92">
        <v>0</v>
      </c>
      <c r="AT92">
        <v>1.26</v>
      </c>
      <c r="AU92" t="s">
        <v>72</v>
      </c>
      <c r="AV92">
        <v>0</v>
      </c>
      <c r="AW92">
        <v>2</v>
      </c>
      <c r="AX92">
        <v>55669135</v>
      </c>
      <c r="AY92">
        <v>1</v>
      </c>
      <c r="AZ92">
        <v>0</v>
      </c>
      <c r="BA92">
        <v>104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CX92">
        <f>Y92*Source!I56</f>
        <v>0.10048499999999999</v>
      </c>
      <c r="CY92">
        <f>AB92</f>
        <v>115.4</v>
      </c>
      <c r="CZ92">
        <f>AF92</f>
        <v>115.4</v>
      </c>
      <c r="DA92">
        <f>AJ92</f>
        <v>1</v>
      </c>
      <c r="DB92">
        <f>ROUND((ROUND(AT92*CZ92,2)*ROUND(1.25,7)),2)</f>
        <v>181.75</v>
      </c>
      <c r="DC92">
        <f>ROUND((ROUND(AT92*AG92,2)*ROUND(1.25,7)),2)</f>
        <v>21.26</v>
      </c>
    </row>
    <row r="93" spans="1:107" ht="12.75">
      <c r="A93">
        <f>ROW(Source!A56)</f>
        <v>56</v>
      </c>
      <c r="B93">
        <v>55668703</v>
      </c>
      <c r="C93">
        <v>55669120</v>
      </c>
      <c r="D93">
        <v>53792927</v>
      </c>
      <c r="E93">
        <v>1</v>
      </c>
      <c r="F93">
        <v>1</v>
      </c>
      <c r="G93">
        <v>1</v>
      </c>
      <c r="H93">
        <v>2</v>
      </c>
      <c r="I93" t="s">
        <v>289</v>
      </c>
      <c r="J93" t="s">
        <v>290</v>
      </c>
      <c r="K93" t="s">
        <v>291</v>
      </c>
      <c r="L93">
        <v>1367</v>
      </c>
      <c r="N93">
        <v>1011</v>
      </c>
      <c r="O93" t="s">
        <v>285</v>
      </c>
      <c r="P93" t="s">
        <v>285</v>
      </c>
      <c r="Q93">
        <v>1</v>
      </c>
      <c r="W93">
        <v>0</v>
      </c>
      <c r="X93">
        <v>509054691</v>
      </c>
      <c r="Y93">
        <v>2.375</v>
      </c>
      <c r="AA93">
        <v>0</v>
      </c>
      <c r="AB93">
        <v>65.71</v>
      </c>
      <c r="AC93">
        <v>11.6</v>
      </c>
      <c r="AD93">
        <v>0</v>
      </c>
      <c r="AE93">
        <v>0</v>
      </c>
      <c r="AF93">
        <v>65.71</v>
      </c>
      <c r="AG93">
        <v>11.6</v>
      </c>
      <c r="AH93">
        <v>0</v>
      </c>
      <c r="AI93">
        <v>1</v>
      </c>
      <c r="AJ93">
        <v>1</v>
      </c>
      <c r="AK93">
        <v>1</v>
      </c>
      <c r="AL93">
        <v>1</v>
      </c>
      <c r="AN93">
        <v>0</v>
      </c>
      <c r="AO93">
        <v>1</v>
      </c>
      <c r="AP93">
        <v>1</v>
      </c>
      <c r="AQ93">
        <v>0</v>
      </c>
      <c r="AR93">
        <v>0</v>
      </c>
      <c r="AT93">
        <v>1.9</v>
      </c>
      <c r="AU93" t="s">
        <v>72</v>
      </c>
      <c r="AV93">
        <v>0</v>
      </c>
      <c r="AW93">
        <v>2</v>
      </c>
      <c r="AX93">
        <v>55669136</v>
      </c>
      <c r="AY93">
        <v>1</v>
      </c>
      <c r="AZ93">
        <v>0</v>
      </c>
      <c r="BA93">
        <v>105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CX93">
        <f>Y93*Source!I56</f>
        <v>0.151525</v>
      </c>
      <c r="CY93">
        <f>AB93</f>
        <v>65.71</v>
      </c>
      <c r="CZ93">
        <f>AF93</f>
        <v>65.71</v>
      </c>
      <c r="DA93">
        <f>AJ93</f>
        <v>1</v>
      </c>
      <c r="DB93">
        <f>ROUND((ROUND(AT93*CZ93,2)*ROUND(1.25,7)),2)</f>
        <v>156.06</v>
      </c>
      <c r="DC93">
        <f>ROUND((ROUND(AT93*AG93,2)*ROUND(1.25,7)),2)</f>
        <v>27.55</v>
      </c>
    </row>
    <row r="94" spans="1:107" ht="12.75">
      <c r="A94">
        <f>ROW(Source!A56)</f>
        <v>56</v>
      </c>
      <c r="B94">
        <v>55668703</v>
      </c>
      <c r="C94">
        <v>55669120</v>
      </c>
      <c r="D94">
        <v>53644939</v>
      </c>
      <c r="E94">
        <v>1</v>
      </c>
      <c r="F94">
        <v>1</v>
      </c>
      <c r="G94">
        <v>1</v>
      </c>
      <c r="H94">
        <v>3</v>
      </c>
      <c r="I94" t="s">
        <v>331</v>
      </c>
      <c r="J94" t="s">
        <v>332</v>
      </c>
      <c r="K94" t="s">
        <v>333</v>
      </c>
      <c r="L94">
        <v>1348</v>
      </c>
      <c r="N94">
        <v>1009</v>
      </c>
      <c r="O94" t="s">
        <v>41</v>
      </c>
      <c r="P94" t="s">
        <v>41</v>
      </c>
      <c r="Q94">
        <v>1000</v>
      </c>
      <c r="W94">
        <v>0</v>
      </c>
      <c r="X94">
        <v>-45966985</v>
      </c>
      <c r="Y94">
        <v>0.00168</v>
      </c>
      <c r="AA94">
        <v>11978</v>
      </c>
      <c r="AB94">
        <v>0</v>
      </c>
      <c r="AC94">
        <v>0</v>
      </c>
      <c r="AD94">
        <v>0</v>
      </c>
      <c r="AE94">
        <v>11978</v>
      </c>
      <c r="AF94">
        <v>0</v>
      </c>
      <c r="AG94">
        <v>0</v>
      </c>
      <c r="AH94">
        <v>0</v>
      </c>
      <c r="AI94">
        <v>1</v>
      </c>
      <c r="AJ94">
        <v>1</v>
      </c>
      <c r="AK94">
        <v>1</v>
      </c>
      <c r="AL94">
        <v>1</v>
      </c>
      <c r="AN94">
        <v>0</v>
      </c>
      <c r="AO94">
        <v>1</v>
      </c>
      <c r="AP94">
        <v>0</v>
      </c>
      <c r="AQ94">
        <v>0</v>
      </c>
      <c r="AR94">
        <v>0</v>
      </c>
      <c r="AT94">
        <v>0.00168</v>
      </c>
      <c r="AV94">
        <v>0</v>
      </c>
      <c r="AW94">
        <v>2</v>
      </c>
      <c r="AX94">
        <v>55669138</v>
      </c>
      <c r="AY94">
        <v>1</v>
      </c>
      <c r="AZ94">
        <v>0</v>
      </c>
      <c r="BA94">
        <v>107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CX94">
        <f>Y94*Source!I56</f>
        <v>0.000107184</v>
      </c>
      <c r="CY94">
        <f aca="true" t="shared" si="12" ref="CY94:CY99">AA94</f>
        <v>11978</v>
      </c>
      <c r="CZ94">
        <f aca="true" t="shared" si="13" ref="CZ94:CZ99">AE94</f>
        <v>11978</v>
      </c>
      <c r="DA94">
        <f aca="true" t="shared" si="14" ref="DA94:DA99">AI94</f>
        <v>1</v>
      </c>
      <c r="DB94">
        <f aca="true" t="shared" si="15" ref="DB94:DB99">ROUND(ROUND(AT94*CZ94,2),2)</f>
        <v>20.12</v>
      </c>
      <c r="DC94">
        <f aca="true" t="shared" si="16" ref="DC94:DC99">ROUND(ROUND(AT94*AG94,2),2)</f>
        <v>0</v>
      </c>
    </row>
    <row r="95" spans="1:107" ht="12.75">
      <c r="A95">
        <f>ROW(Source!A56)</f>
        <v>56</v>
      </c>
      <c r="B95">
        <v>55668703</v>
      </c>
      <c r="C95">
        <v>55669120</v>
      </c>
      <c r="D95">
        <v>53647861</v>
      </c>
      <c r="E95">
        <v>1</v>
      </c>
      <c r="F95">
        <v>1</v>
      </c>
      <c r="G95">
        <v>1</v>
      </c>
      <c r="H95">
        <v>3</v>
      </c>
      <c r="I95" t="s">
        <v>334</v>
      </c>
      <c r="J95" t="s">
        <v>335</v>
      </c>
      <c r="K95" t="s">
        <v>336</v>
      </c>
      <c r="L95">
        <v>1339</v>
      </c>
      <c r="N95">
        <v>1007</v>
      </c>
      <c r="O95" t="s">
        <v>305</v>
      </c>
      <c r="P95" t="s">
        <v>305</v>
      </c>
      <c r="Q95">
        <v>1</v>
      </c>
      <c r="W95">
        <v>0</v>
      </c>
      <c r="X95">
        <v>-1246511917</v>
      </c>
      <c r="Y95">
        <v>0.076</v>
      </c>
      <c r="AA95">
        <v>458</v>
      </c>
      <c r="AB95">
        <v>0</v>
      </c>
      <c r="AC95">
        <v>0</v>
      </c>
      <c r="AD95">
        <v>0</v>
      </c>
      <c r="AE95">
        <v>458</v>
      </c>
      <c r="AF95">
        <v>0</v>
      </c>
      <c r="AG95">
        <v>0</v>
      </c>
      <c r="AH95">
        <v>0</v>
      </c>
      <c r="AI95">
        <v>1</v>
      </c>
      <c r="AJ95">
        <v>1</v>
      </c>
      <c r="AK95">
        <v>1</v>
      </c>
      <c r="AL95">
        <v>1</v>
      </c>
      <c r="AN95">
        <v>0</v>
      </c>
      <c r="AO95">
        <v>1</v>
      </c>
      <c r="AP95">
        <v>0</v>
      </c>
      <c r="AQ95">
        <v>0</v>
      </c>
      <c r="AR95">
        <v>0</v>
      </c>
      <c r="AT95">
        <v>0.076</v>
      </c>
      <c r="AV95">
        <v>0</v>
      </c>
      <c r="AW95">
        <v>2</v>
      </c>
      <c r="AX95">
        <v>55669139</v>
      </c>
      <c r="AY95">
        <v>1</v>
      </c>
      <c r="AZ95">
        <v>0</v>
      </c>
      <c r="BA95">
        <v>108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CX95">
        <f>Y95*Source!I56</f>
        <v>0.0048487999999999995</v>
      </c>
      <c r="CY95">
        <f t="shared" si="12"/>
        <v>458</v>
      </c>
      <c r="CZ95">
        <f t="shared" si="13"/>
        <v>458</v>
      </c>
      <c r="DA95">
        <f t="shared" si="14"/>
        <v>1</v>
      </c>
      <c r="DB95">
        <f t="shared" si="15"/>
        <v>34.81</v>
      </c>
      <c r="DC95">
        <f t="shared" si="16"/>
        <v>0</v>
      </c>
    </row>
    <row r="96" spans="1:107" ht="12.75">
      <c r="A96">
        <f>ROW(Source!A56)</f>
        <v>56</v>
      </c>
      <c r="B96">
        <v>55668703</v>
      </c>
      <c r="C96">
        <v>55669120</v>
      </c>
      <c r="D96">
        <v>53660946</v>
      </c>
      <c r="E96">
        <v>1</v>
      </c>
      <c r="F96">
        <v>1</v>
      </c>
      <c r="G96">
        <v>1</v>
      </c>
      <c r="H96">
        <v>3</v>
      </c>
      <c r="I96" t="s">
        <v>337</v>
      </c>
      <c r="J96" t="s">
        <v>338</v>
      </c>
      <c r="K96" t="s">
        <v>339</v>
      </c>
      <c r="L96">
        <v>1346</v>
      </c>
      <c r="N96">
        <v>1009</v>
      </c>
      <c r="O96" t="s">
        <v>340</v>
      </c>
      <c r="P96" t="s">
        <v>340</v>
      </c>
      <c r="Q96">
        <v>1</v>
      </c>
      <c r="W96">
        <v>0</v>
      </c>
      <c r="X96">
        <v>1088760656</v>
      </c>
      <c r="Y96">
        <v>22.41</v>
      </c>
      <c r="AA96">
        <v>10.26</v>
      </c>
      <c r="AB96">
        <v>0</v>
      </c>
      <c r="AC96">
        <v>0</v>
      </c>
      <c r="AD96">
        <v>0</v>
      </c>
      <c r="AE96">
        <v>10.26</v>
      </c>
      <c r="AF96">
        <v>0</v>
      </c>
      <c r="AG96">
        <v>0</v>
      </c>
      <c r="AH96">
        <v>0</v>
      </c>
      <c r="AI96">
        <v>1</v>
      </c>
      <c r="AJ96">
        <v>1</v>
      </c>
      <c r="AK96">
        <v>1</v>
      </c>
      <c r="AL96">
        <v>1</v>
      </c>
      <c r="AN96">
        <v>0</v>
      </c>
      <c r="AO96">
        <v>1</v>
      </c>
      <c r="AP96">
        <v>0</v>
      </c>
      <c r="AQ96">
        <v>0</v>
      </c>
      <c r="AR96">
        <v>0</v>
      </c>
      <c r="AT96">
        <v>22.41</v>
      </c>
      <c r="AV96">
        <v>0</v>
      </c>
      <c r="AW96">
        <v>2</v>
      </c>
      <c r="AX96">
        <v>55669140</v>
      </c>
      <c r="AY96">
        <v>1</v>
      </c>
      <c r="AZ96">
        <v>0</v>
      </c>
      <c r="BA96">
        <v>109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CX96">
        <f>Y96*Source!I56</f>
        <v>1.4297579999999999</v>
      </c>
      <c r="CY96">
        <f t="shared" si="12"/>
        <v>10.26</v>
      </c>
      <c r="CZ96">
        <f t="shared" si="13"/>
        <v>10.26</v>
      </c>
      <c r="DA96">
        <f t="shared" si="14"/>
        <v>1</v>
      </c>
      <c r="DB96">
        <f t="shared" si="15"/>
        <v>229.93</v>
      </c>
      <c r="DC96">
        <f t="shared" si="16"/>
        <v>0</v>
      </c>
    </row>
    <row r="97" spans="1:107" ht="12.75">
      <c r="A97">
        <f>ROW(Source!A56)</f>
        <v>56</v>
      </c>
      <c r="B97">
        <v>55668703</v>
      </c>
      <c r="C97">
        <v>55669120</v>
      </c>
      <c r="D97">
        <v>53666237</v>
      </c>
      <c r="E97">
        <v>1</v>
      </c>
      <c r="F97">
        <v>1</v>
      </c>
      <c r="G97">
        <v>1</v>
      </c>
      <c r="H97">
        <v>3</v>
      </c>
      <c r="I97" t="s">
        <v>341</v>
      </c>
      <c r="J97" t="s">
        <v>342</v>
      </c>
      <c r="K97" t="s">
        <v>343</v>
      </c>
      <c r="L97">
        <v>1339</v>
      </c>
      <c r="N97">
        <v>1007</v>
      </c>
      <c r="O97" t="s">
        <v>305</v>
      </c>
      <c r="P97" t="s">
        <v>305</v>
      </c>
      <c r="Q97">
        <v>1</v>
      </c>
      <c r="W97">
        <v>0</v>
      </c>
      <c r="X97">
        <v>-896765309</v>
      </c>
      <c r="Y97">
        <v>0.07</v>
      </c>
      <c r="AA97">
        <v>1100</v>
      </c>
      <c r="AB97">
        <v>0</v>
      </c>
      <c r="AC97">
        <v>0</v>
      </c>
      <c r="AD97">
        <v>0</v>
      </c>
      <c r="AE97">
        <v>1100</v>
      </c>
      <c r="AF97">
        <v>0</v>
      </c>
      <c r="AG97">
        <v>0</v>
      </c>
      <c r="AH97">
        <v>0</v>
      </c>
      <c r="AI97">
        <v>1</v>
      </c>
      <c r="AJ97">
        <v>1</v>
      </c>
      <c r="AK97">
        <v>1</v>
      </c>
      <c r="AL97">
        <v>1</v>
      </c>
      <c r="AN97">
        <v>0</v>
      </c>
      <c r="AO97">
        <v>1</v>
      </c>
      <c r="AP97">
        <v>0</v>
      </c>
      <c r="AQ97">
        <v>0</v>
      </c>
      <c r="AR97">
        <v>0</v>
      </c>
      <c r="AT97">
        <v>0.07</v>
      </c>
      <c r="AV97">
        <v>0</v>
      </c>
      <c r="AW97">
        <v>2</v>
      </c>
      <c r="AX97">
        <v>55669141</v>
      </c>
      <c r="AY97">
        <v>1</v>
      </c>
      <c r="AZ97">
        <v>0</v>
      </c>
      <c r="BA97">
        <v>110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CX97">
        <f>Y97*Source!I56</f>
        <v>0.004466</v>
      </c>
      <c r="CY97">
        <f t="shared" si="12"/>
        <v>1100</v>
      </c>
      <c r="CZ97">
        <f t="shared" si="13"/>
        <v>1100</v>
      </c>
      <c r="DA97">
        <f t="shared" si="14"/>
        <v>1</v>
      </c>
      <c r="DB97">
        <f t="shared" si="15"/>
        <v>77</v>
      </c>
      <c r="DC97">
        <f t="shared" si="16"/>
        <v>0</v>
      </c>
    </row>
    <row r="98" spans="1:107" ht="12.75">
      <c r="A98">
        <f>ROW(Source!A56)</f>
        <v>56</v>
      </c>
      <c r="B98">
        <v>55668703</v>
      </c>
      <c r="C98">
        <v>55669120</v>
      </c>
      <c r="D98">
        <v>53674465</v>
      </c>
      <c r="E98">
        <v>1</v>
      </c>
      <c r="F98">
        <v>1</v>
      </c>
      <c r="G98">
        <v>1</v>
      </c>
      <c r="H98">
        <v>3</v>
      </c>
      <c r="I98" t="s">
        <v>344</v>
      </c>
      <c r="J98" t="s">
        <v>345</v>
      </c>
      <c r="K98" t="s">
        <v>346</v>
      </c>
      <c r="L98">
        <v>1296</v>
      </c>
      <c r="N98">
        <v>1002</v>
      </c>
      <c r="O98" t="s">
        <v>347</v>
      </c>
      <c r="P98" t="s">
        <v>347</v>
      </c>
      <c r="Q98">
        <v>1</v>
      </c>
      <c r="W98">
        <v>0</v>
      </c>
      <c r="X98">
        <v>-310994662</v>
      </c>
      <c r="Y98">
        <v>22.2</v>
      </c>
      <c r="AA98">
        <v>46.86</v>
      </c>
      <c r="AB98">
        <v>0</v>
      </c>
      <c r="AC98">
        <v>0</v>
      </c>
      <c r="AD98">
        <v>0</v>
      </c>
      <c r="AE98">
        <v>46.86</v>
      </c>
      <c r="AF98">
        <v>0</v>
      </c>
      <c r="AG98">
        <v>0</v>
      </c>
      <c r="AH98">
        <v>0</v>
      </c>
      <c r="AI98">
        <v>1</v>
      </c>
      <c r="AJ98">
        <v>1</v>
      </c>
      <c r="AK98">
        <v>1</v>
      </c>
      <c r="AL98">
        <v>1</v>
      </c>
      <c r="AN98">
        <v>0</v>
      </c>
      <c r="AO98">
        <v>1</v>
      </c>
      <c r="AP98">
        <v>0</v>
      </c>
      <c r="AQ98">
        <v>0</v>
      </c>
      <c r="AR98">
        <v>0</v>
      </c>
      <c r="AT98">
        <v>22.2</v>
      </c>
      <c r="AV98">
        <v>0</v>
      </c>
      <c r="AW98">
        <v>2</v>
      </c>
      <c r="AX98">
        <v>55669143</v>
      </c>
      <c r="AY98">
        <v>1</v>
      </c>
      <c r="AZ98">
        <v>0</v>
      </c>
      <c r="BA98">
        <v>112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CX98">
        <f>Y98*Source!I56</f>
        <v>1.4163599999999998</v>
      </c>
      <c r="CY98">
        <f t="shared" si="12"/>
        <v>46.86</v>
      </c>
      <c r="CZ98">
        <f t="shared" si="13"/>
        <v>46.86</v>
      </c>
      <c r="DA98">
        <f t="shared" si="14"/>
        <v>1</v>
      </c>
      <c r="DB98">
        <f t="shared" si="15"/>
        <v>1040.29</v>
      </c>
      <c r="DC98">
        <f t="shared" si="16"/>
        <v>0</v>
      </c>
    </row>
    <row r="99" spans="1:107" ht="12.75">
      <c r="A99">
        <f>ROW(Source!A56)</f>
        <v>56</v>
      </c>
      <c r="B99">
        <v>55668703</v>
      </c>
      <c r="C99">
        <v>55669120</v>
      </c>
      <c r="D99">
        <v>0</v>
      </c>
      <c r="E99">
        <v>1</v>
      </c>
      <c r="F99">
        <v>1</v>
      </c>
      <c r="G99">
        <v>1</v>
      </c>
      <c r="H99">
        <v>3</v>
      </c>
      <c r="I99" t="s">
        <v>79</v>
      </c>
      <c r="K99" t="s">
        <v>386</v>
      </c>
      <c r="L99">
        <v>1429</v>
      </c>
      <c r="N99">
        <v>1013</v>
      </c>
      <c r="O99" t="s">
        <v>115</v>
      </c>
      <c r="P99" t="s">
        <v>115</v>
      </c>
      <c r="Q99">
        <v>1</v>
      </c>
      <c r="W99">
        <v>0</v>
      </c>
      <c r="X99">
        <v>-872054346</v>
      </c>
      <c r="Y99">
        <v>31.347962</v>
      </c>
      <c r="AA99">
        <v>128480</v>
      </c>
      <c r="AB99">
        <v>0</v>
      </c>
      <c r="AC99">
        <v>0</v>
      </c>
      <c r="AD99">
        <v>0</v>
      </c>
      <c r="AE99">
        <v>128480</v>
      </c>
      <c r="AF99">
        <v>0</v>
      </c>
      <c r="AG99">
        <v>0</v>
      </c>
      <c r="AH99">
        <v>0</v>
      </c>
      <c r="AI99">
        <v>1</v>
      </c>
      <c r="AJ99">
        <v>1</v>
      </c>
      <c r="AK99">
        <v>1</v>
      </c>
      <c r="AL99">
        <v>1</v>
      </c>
      <c r="AN99">
        <v>0</v>
      </c>
      <c r="AO99">
        <v>0</v>
      </c>
      <c r="AP99">
        <v>0</v>
      </c>
      <c r="AQ99">
        <v>0</v>
      </c>
      <c r="AR99">
        <v>0</v>
      </c>
      <c r="AT99">
        <v>31.347962</v>
      </c>
      <c r="AV99">
        <v>0</v>
      </c>
      <c r="AW99">
        <v>1</v>
      </c>
      <c r="AX99">
        <v>-1</v>
      </c>
      <c r="AY99">
        <v>0</v>
      </c>
      <c r="AZ99">
        <v>0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CX99">
        <f>Y99*Source!I56</f>
        <v>1.9999999755999998</v>
      </c>
      <c r="CY99">
        <f t="shared" si="12"/>
        <v>128480</v>
      </c>
      <c r="CZ99">
        <f t="shared" si="13"/>
        <v>128480</v>
      </c>
      <c r="DA99">
        <f t="shared" si="14"/>
        <v>1</v>
      </c>
      <c r="DB99">
        <f t="shared" si="15"/>
        <v>4027586.16</v>
      </c>
      <c r="DC99">
        <f t="shared" si="16"/>
        <v>0</v>
      </c>
    </row>
    <row r="100" spans="1:107" ht="12.75">
      <c r="A100">
        <f>ROW(Source!A57)</f>
        <v>57</v>
      </c>
      <c r="B100">
        <v>55668704</v>
      </c>
      <c r="C100">
        <v>55669120</v>
      </c>
      <c r="D100">
        <v>53630101</v>
      </c>
      <c r="E100">
        <v>70</v>
      </c>
      <c r="F100">
        <v>1</v>
      </c>
      <c r="G100">
        <v>1</v>
      </c>
      <c r="H100">
        <v>1</v>
      </c>
      <c r="I100" t="s">
        <v>326</v>
      </c>
      <c r="K100" t="s">
        <v>327</v>
      </c>
      <c r="L100">
        <v>1191</v>
      </c>
      <c r="N100">
        <v>1013</v>
      </c>
      <c r="O100" t="s">
        <v>279</v>
      </c>
      <c r="P100" t="s">
        <v>279</v>
      </c>
      <c r="Q100">
        <v>1</v>
      </c>
      <c r="W100">
        <v>0</v>
      </c>
      <c r="X100">
        <v>-2012709214</v>
      </c>
      <c r="Y100">
        <v>92.11499999999998</v>
      </c>
      <c r="AA100">
        <v>0</v>
      </c>
      <c r="AB100">
        <v>0</v>
      </c>
      <c r="AC100">
        <v>0</v>
      </c>
      <c r="AD100">
        <v>351</v>
      </c>
      <c r="AE100">
        <v>0</v>
      </c>
      <c r="AF100">
        <v>0</v>
      </c>
      <c r="AG100">
        <v>0</v>
      </c>
      <c r="AH100">
        <v>9.4</v>
      </c>
      <c r="AI100">
        <v>1</v>
      </c>
      <c r="AJ100">
        <v>1</v>
      </c>
      <c r="AK100">
        <v>1</v>
      </c>
      <c r="AL100">
        <v>37.34</v>
      </c>
      <c r="AN100">
        <v>0</v>
      </c>
      <c r="AO100">
        <v>1</v>
      </c>
      <c r="AP100">
        <v>1</v>
      </c>
      <c r="AQ100">
        <v>0</v>
      </c>
      <c r="AR100">
        <v>0</v>
      </c>
      <c r="AT100">
        <v>80.1</v>
      </c>
      <c r="AU100" t="s">
        <v>73</v>
      </c>
      <c r="AV100">
        <v>1</v>
      </c>
      <c r="AW100">
        <v>2</v>
      </c>
      <c r="AX100">
        <v>55669132</v>
      </c>
      <c r="AY100">
        <v>1</v>
      </c>
      <c r="AZ100">
        <v>0</v>
      </c>
      <c r="BA100">
        <v>113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CX100">
        <f>Y100*Source!I57</f>
        <v>5.876936999999998</v>
      </c>
      <c r="CY100">
        <f>AD100</f>
        <v>351</v>
      </c>
      <c r="CZ100">
        <f>AH100</f>
        <v>9.4</v>
      </c>
      <c r="DA100">
        <f>AL100</f>
        <v>37.34</v>
      </c>
      <c r="DB100">
        <f>ROUND((ROUND(AT100*CZ100,2)*ROUND(1.15,7)),2)</f>
        <v>865.88</v>
      </c>
      <c r="DC100">
        <f>ROUND((ROUND(AT100*AG100,2)*ROUND(1.15,7)),2)</f>
        <v>0</v>
      </c>
    </row>
    <row r="101" spans="1:107" ht="12.75">
      <c r="A101">
        <f>ROW(Source!A57)</f>
        <v>57</v>
      </c>
      <c r="B101">
        <v>55668704</v>
      </c>
      <c r="C101">
        <v>55669120</v>
      </c>
      <c r="D101">
        <v>53630257</v>
      </c>
      <c r="E101">
        <v>70</v>
      </c>
      <c r="F101">
        <v>1</v>
      </c>
      <c r="G101">
        <v>1</v>
      </c>
      <c r="H101">
        <v>1</v>
      </c>
      <c r="I101" t="s">
        <v>280</v>
      </c>
      <c r="K101" t="s">
        <v>281</v>
      </c>
      <c r="L101">
        <v>1191</v>
      </c>
      <c r="N101">
        <v>1013</v>
      </c>
      <c r="O101" t="s">
        <v>279</v>
      </c>
      <c r="P101" t="s">
        <v>279</v>
      </c>
      <c r="Q101">
        <v>1</v>
      </c>
      <c r="W101">
        <v>0</v>
      </c>
      <c r="X101">
        <v>-1417349443</v>
      </c>
      <c r="Y101">
        <v>12.8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1</v>
      </c>
      <c r="AJ101">
        <v>1</v>
      </c>
      <c r="AK101">
        <v>37.34</v>
      </c>
      <c r="AL101">
        <v>1</v>
      </c>
      <c r="AN101">
        <v>0</v>
      </c>
      <c r="AO101">
        <v>1</v>
      </c>
      <c r="AP101">
        <v>1</v>
      </c>
      <c r="AQ101">
        <v>0</v>
      </c>
      <c r="AR101">
        <v>0</v>
      </c>
      <c r="AT101">
        <v>10.24</v>
      </c>
      <c r="AU101" t="s">
        <v>72</v>
      </c>
      <c r="AV101">
        <v>2</v>
      </c>
      <c r="AW101">
        <v>2</v>
      </c>
      <c r="AX101">
        <v>55669133</v>
      </c>
      <c r="AY101">
        <v>1</v>
      </c>
      <c r="AZ101">
        <v>0</v>
      </c>
      <c r="BA101">
        <v>114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CX101">
        <f>Y101*Source!I57</f>
        <v>0.81664</v>
      </c>
      <c r="CY101">
        <f>AD101</f>
        <v>0</v>
      </c>
      <c r="CZ101">
        <f>AH101</f>
        <v>0</v>
      </c>
      <c r="DA101">
        <f>AL101</f>
        <v>1</v>
      </c>
      <c r="DB101">
        <f>ROUND((ROUND(AT101*CZ101,2)*ROUND(1.25,7)),2)</f>
        <v>0</v>
      </c>
      <c r="DC101">
        <f>ROUND((ROUND(AT101*AG101,2)*ROUND(1.25,7)),2)</f>
        <v>0</v>
      </c>
    </row>
    <row r="102" spans="1:107" ht="12.75">
      <c r="A102">
        <f>ROW(Source!A57)</f>
        <v>57</v>
      </c>
      <c r="B102">
        <v>55668704</v>
      </c>
      <c r="C102">
        <v>55669120</v>
      </c>
      <c r="D102">
        <v>53791939</v>
      </c>
      <c r="E102">
        <v>1</v>
      </c>
      <c r="F102">
        <v>1</v>
      </c>
      <c r="G102">
        <v>1</v>
      </c>
      <c r="H102">
        <v>2</v>
      </c>
      <c r="I102" t="s">
        <v>328</v>
      </c>
      <c r="J102" t="s">
        <v>329</v>
      </c>
      <c r="K102" t="s">
        <v>330</v>
      </c>
      <c r="L102">
        <v>1367</v>
      </c>
      <c r="N102">
        <v>1011</v>
      </c>
      <c r="O102" t="s">
        <v>285</v>
      </c>
      <c r="P102" t="s">
        <v>285</v>
      </c>
      <c r="Q102">
        <v>1</v>
      </c>
      <c r="W102">
        <v>0</v>
      </c>
      <c r="X102">
        <v>-130837057</v>
      </c>
      <c r="Y102">
        <v>8.85</v>
      </c>
      <c r="AA102">
        <v>0</v>
      </c>
      <c r="AB102">
        <v>1143.94</v>
      </c>
      <c r="AC102">
        <v>504.09</v>
      </c>
      <c r="AD102">
        <v>0</v>
      </c>
      <c r="AE102">
        <v>0</v>
      </c>
      <c r="AF102">
        <v>86.4</v>
      </c>
      <c r="AG102">
        <v>13.5</v>
      </c>
      <c r="AH102">
        <v>0</v>
      </c>
      <c r="AI102">
        <v>1</v>
      </c>
      <c r="AJ102">
        <v>13.24</v>
      </c>
      <c r="AK102">
        <v>37.34</v>
      </c>
      <c r="AL102">
        <v>1</v>
      </c>
      <c r="AN102">
        <v>0</v>
      </c>
      <c r="AO102">
        <v>1</v>
      </c>
      <c r="AP102">
        <v>1</v>
      </c>
      <c r="AQ102">
        <v>0</v>
      </c>
      <c r="AR102">
        <v>0</v>
      </c>
      <c r="AT102">
        <v>7.08</v>
      </c>
      <c r="AU102" t="s">
        <v>72</v>
      </c>
      <c r="AV102">
        <v>0</v>
      </c>
      <c r="AW102">
        <v>2</v>
      </c>
      <c r="AX102">
        <v>55669134</v>
      </c>
      <c r="AY102">
        <v>1</v>
      </c>
      <c r="AZ102">
        <v>0</v>
      </c>
      <c r="BA102">
        <v>115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CX102">
        <f>Y102*Source!I57</f>
        <v>0.56463</v>
      </c>
      <c r="CY102">
        <f>AB102</f>
        <v>1143.94</v>
      </c>
      <c r="CZ102">
        <f>AF102</f>
        <v>86.4</v>
      </c>
      <c r="DA102">
        <f>AJ102</f>
        <v>13.24</v>
      </c>
      <c r="DB102">
        <f>ROUND((ROUND(AT102*CZ102,2)*ROUND(1.25,7)),2)</f>
        <v>764.64</v>
      </c>
      <c r="DC102">
        <f>ROUND((ROUND(AT102*AG102,2)*ROUND(1.25,7)),2)</f>
        <v>119.48</v>
      </c>
    </row>
    <row r="103" spans="1:107" ht="12.75">
      <c r="A103">
        <f>ROW(Source!A57)</f>
        <v>57</v>
      </c>
      <c r="B103">
        <v>55668704</v>
      </c>
      <c r="C103">
        <v>55669120</v>
      </c>
      <c r="D103">
        <v>53791997</v>
      </c>
      <c r="E103">
        <v>1</v>
      </c>
      <c r="F103">
        <v>1</v>
      </c>
      <c r="G103">
        <v>1</v>
      </c>
      <c r="H103">
        <v>2</v>
      </c>
      <c r="I103" t="s">
        <v>282</v>
      </c>
      <c r="J103" t="s">
        <v>283</v>
      </c>
      <c r="K103" t="s">
        <v>284</v>
      </c>
      <c r="L103">
        <v>1367</v>
      </c>
      <c r="N103">
        <v>1011</v>
      </c>
      <c r="O103" t="s">
        <v>285</v>
      </c>
      <c r="P103" t="s">
        <v>285</v>
      </c>
      <c r="Q103">
        <v>1</v>
      </c>
      <c r="W103">
        <v>0</v>
      </c>
      <c r="X103">
        <v>-430484415</v>
      </c>
      <c r="Y103">
        <v>1.575</v>
      </c>
      <c r="AA103">
        <v>0</v>
      </c>
      <c r="AB103">
        <v>1527.9</v>
      </c>
      <c r="AC103">
        <v>504.09</v>
      </c>
      <c r="AD103">
        <v>0</v>
      </c>
      <c r="AE103">
        <v>0</v>
      </c>
      <c r="AF103">
        <v>115.4</v>
      </c>
      <c r="AG103">
        <v>13.5</v>
      </c>
      <c r="AH103">
        <v>0</v>
      </c>
      <c r="AI103">
        <v>1</v>
      </c>
      <c r="AJ103">
        <v>13.24</v>
      </c>
      <c r="AK103">
        <v>37.34</v>
      </c>
      <c r="AL103">
        <v>1</v>
      </c>
      <c r="AN103">
        <v>0</v>
      </c>
      <c r="AO103">
        <v>1</v>
      </c>
      <c r="AP103">
        <v>1</v>
      </c>
      <c r="AQ103">
        <v>0</v>
      </c>
      <c r="AR103">
        <v>0</v>
      </c>
      <c r="AT103">
        <v>1.26</v>
      </c>
      <c r="AU103" t="s">
        <v>72</v>
      </c>
      <c r="AV103">
        <v>0</v>
      </c>
      <c r="AW103">
        <v>2</v>
      </c>
      <c r="AX103">
        <v>55669135</v>
      </c>
      <c r="AY103">
        <v>1</v>
      </c>
      <c r="AZ103">
        <v>0</v>
      </c>
      <c r="BA103">
        <v>116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CX103">
        <f>Y103*Source!I57</f>
        <v>0.10048499999999999</v>
      </c>
      <c r="CY103">
        <f>AB103</f>
        <v>1527.9</v>
      </c>
      <c r="CZ103">
        <f>AF103</f>
        <v>115.4</v>
      </c>
      <c r="DA103">
        <f>AJ103</f>
        <v>13.24</v>
      </c>
      <c r="DB103">
        <f>ROUND((ROUND(AT103*CZ103,2)*ROUND(1.25,7)),2)</f>
        <v>181.75</v>
      </c>
      <c r="DC103">
        <f>ROUND((ROUND(AT103*AG103,2)*ROUND(1.25,7)),2)</f>
        <v>21.26</v>
      </c>
    </row>
    <row r="104" spans="1:107" ht="12.75">
      <c r="A104">
        <f>ROW(Source!A57)</f>
        <v>57</v>
      </c>
      <c r="B104">
        <v>55668704</v>
      </c>
      <c r="C104">
        <v>55669120</v>
      </c>
      <c r="D104">
        <v>53792927</v>
      </c>
      <c r="E104">
        <v>1</v>
      </c>
      <c r="F104">
        <v>1</v>
      </c>
      <c r="G104">
        <v>1</v>
      </c>
      <c r="H104">
        <v>2</v>
      </c>
      <c r="I104" t="s">
        <v>289</v>
      </c>
      <c r="J104" t="s">
        <v>290</v>
      </c>
      <c r="K104" t="s">
        <v>291</v>
      </c>
      <c r="L104">
        <v>1367</v>
      </c>
      <c r="N104">
        <v>1011</v>
      </c>
      <c r="O104" t="s">
        <v>285</v>
      </c>
      <c r="P104" t="s">
        <v>285</v>
      </c>
      <c r="Q104">
        <v>1</v>
      </c>
      <c r="W104">
        <v>0</v>
      </c>
      <c r="X104">
        <v>509054691</v>
      </c>
      <c r="Y104">
        <v>2.375</v>
      </c>
      <c r="AA104">
        <v>0</v>
      </c>
      <c r="AB104">
        <v>870</v>
      </c>
      <c r="AC104">
        <v>433.14</v>
      </c>
      <c r="AD104">
        <v>0</v>
      </c>
      <c r="AE104">
        <v>0</v>
      </c>
      <c r="AF104">
        <v>65.71</v>
      </c>
      <c r="AG104">
        <v>11.6</v>
      </c>
      <c r="AH104">
        <v>0</v>
      </c>
      <c r="AI104">
        <v>1</v>
      </c>
      <c r="AJ104">
        <v>13.24</v>
      </c>
      <c r="AK104">
        <v>37.34</v>
      </c>
      <c r="AL104">
        <v>1</v>
      </c>
      <c r="AN104">
        <v>0</v>
      </c>
      <c r="AO104">
        <v>1</v>
      </c>
      <c r="AP104">
        <v>1</v>
      </c>
      <c r="AQ104">
        <v>0</v>
      </c>
      <c r="AR104">
        <v>0</v>
      </c>
      <c r="AT104">
        <v>1.9</v>
      </c>
      <c r="AU104" t="s">
        <v>72</v>
      </c>
      <c r="AV104">
        <v>0</v>
      </c>
      <c r="AW104">
        <v>2</v>
      </c>
      <c r="AX104">
        <v>55669136</v>
      </c>
      <c r="AY104">
        <v>1</v>
      </c>
      <c r="AZ104">
        <v>0</v>
      </c>
      <c r="BA104">
        <v>117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CX104">
        <f>Y104*Source!I57</f>
        <v>0.151525</v>
      </c>
      <c r="CY104">
        <f>AB104</f>
        <v>870</v>
      </c>
      <c r="CZ104">
        <f>AF104</f>
        <v>65.71</v>
      </c>
      <c r="DA104">
        <f>AJ104</f>
        <v>13.24</v>
      </c>
      <c r="DB104">
        <f>ROUND((ROUND(AT104*CZ104,2)*ROUND(1.25,7)),2)</f>
        <v>156.06</v>
      </c>
      <c r="DC104">
        <f>ROUND((ROUND(AT104*AG104,2)*ROUND(1.25,7)),2)</f>
        <v>27.55</v>
      </c>
    </row>
    <row r="105" spans="1:107" ht="12.75">
      <c r="A105">
        <f>ROW(Source!A57)</f>
        <v>57</v>
      </c>
      <c r="B105">
        <v>55668704</v>
      </c>
      <c r="C105">
        <v>55669120</v>
      </c>
      <c r="D105">
        <v>53644939</v>
      </c>
      <c r="E105">
        <v>1</v>
      </c>
      <c r="F105">
        <v>1</v>
      </c>
      <c r="G105">
        <v>1</v>
      </c>
      <c r="H105">
        <v>3</v>
      </c>
      <c r="I105" t="s">
        <v>331</v>
      </c>
      <c r="J105" t="s">
        <v>332</v>
      </c>
      <c r="K105" t="s">
        <v>333</v>
      </c>
      <c r="L105">
        <v>1348</v>
      </c>
      <c r="N105">
        <v>1009</v>
      </c>
      <c r="O105" t="s">
        <v>41</v>
      </c>
      <c r="P105" t="s">
        <v>41</v>
      </c>
      <c r="Q105">
        <v>1000</v>
      </c>
      <c r="W105">
        <v>0</v>
      </c>
      <c r="X105">
        <v>-45966985</v>
      </c>
      <c r="Y105">
        <v>0.00168</v>
      </c>
      <c r="AA105">
        <v>80492.16</v>
      </c>
      <c r="AB105">
        <v>0</v>
      </c>
      <c r="AC105">
        <v>0</v>
      </c>
      <c r="AD105">
        <v>0</v>
      </c>
      <c r="AE105">
        <v>11978</v>
      </c>
      <c r="AF105">
        <v>0</v>
      </c>
      <c r="AG105">
        <v>0</v>
      </c>
      <c r="AH105">
        <v>0</v>
      </c>
      <c r="AI105">
        <v>6.72</v>
      </c>
      <c r="AJ105">
        <v>1</v>
      </c>
      <c r="AK105">
        <v>1</v>
      </c>
      <c r="AL105">
        <v>1</v>
      </c>
      <c r="AN105">
        <v>0</v>
      </c>
      <c r="AO105">
        <v>1</v>
      </c>
      <c r="AP105">
        <v>0</v>
      </c>
      <c r="AQ105">
        <v>0</v>
      </c>
      <c r="AR105">
        <v>0</v>
      </c>
      <c r="AT105">
        <v>0.00168</v>
      </c>
      <c r="AV105">
        <v>0</v>
      </c>
      <c r="AW105">
        <v>2</v>
      </c>
      <c r="AX105">
        <v>55669138</v>
      </c>
      <c r="AY105">
        <v>1</v>
      </c>
      <c r="AZ105">
        <v>0</v>
      </c>
      <c r="BA105">
        <v>119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CX105">
        <f>Y105*Source!I57</f>
        <v>0.000107184</v>
      </c>
      <c r="CY105">
        <f aca="true" t="shared" si="17" ref="CY105:CY110">AA105</f>
        <v>80492.16</v>
      </c>
      <c r="CZ105">
        <f aca="true" t="shared" si="18" ref="CZ105:CZ110">AE105</f>
        <v>11978</v>
      </c>
      <c r="DA105">
        <f aca="true" t="shared" si="19" ref="DA105:DA110">AI105</f>
        <v>6.72</v>
      </c>
      <c r="DB105">
        <f aca="true" t="shared" si="20" ref="DB105:DB110">ROUND(ROUND(AT105*CZ105,2),2)</f>
        <v>20.12</v>
      </c>
      <c r="DC105">
        <f aca="true" t="shared" si="21" ref="DC105:DC110">ROUND(ROUND(AT105*AG105,2),2)</f>
        <v>0</v>
      </c>
    </row>
    <row r="106" spans="1:107" ht="12.75">
      <c r="A106">
        <f>ROW(Source!A57)</f>
        <v>57</v>
      </c>
      <c r="B106">
        <v>55668704</v>
      </c>
      <c r="C106">
        <v>55669120</v>
      </c>
      <c r="D106">
        <v>53647861</v>
      </c>
      <c r="E106">
        <v>1</v>
      </c>
      <c r="F106">
        <v>1</v>
      </c>
      <c r="G106">
        <v>1</v>
      </c>
      <c r="H106">
        <v>3</v>
      </c>
      <c r="I106" t="s">
        <v>334</v>
      </c>
      <c r="J106" t="s">
        <v>335</v>
      </c>
      <c r="K106" t="s">
        <v>336</v>
      </c>
      <c r="L106">
        <v>1339</v>
      </c>
      <c r="N106">
        <v>1007</v>
      </c>
      <c r="O106" t="s">
        <v>305</v>
      </c>
      <c r="P106" t="s">
        <v>305</v>
      </c>
      <c r="Q106">
        <v>1</v>
      </c>
      <c r="W106">
        <v>0</v>
      </c>
      <c r="X106">
        <v>-1246511917</v>
      </c>
      <c r="Y106">
        <v>0.076</v>
      </c>
      <c r="AA106">
        <v>3077.76</v>
      </c>
      <c r="AB106">
        <v>0</v>
      </c>
      <c r="AC106">
        <v>0</v>
      </c>
      <c r="AD106">
        <v>0</v>
      </c>
      <c r="AE106">
        <v>458</v>
      </c>
      <c r="AF106">
        <v>0</v>
      </c>
      <c r="AG106">
        <v>0</v>
      </c>
      <c r="AH106">
        <v>0</v>
      </c>
      <c r="AI106">
        <v>6.72</v>
      </c>
      <c r="AJ106">
        <v>1</v>
      </c>
      <c r="AK106">
        <v>1</v>
      </c>
      <c r="AL106">
        <v>1</v>
      </c>
      <c r="AN106">
        <v>0</v>
      </c>
      <c r="AO106">
        <v>1</v>
      </c>
      <c r="AP106">
        <v>0</v>
      </c>
      <c r="AQ106">
        <v>0</v>
      </c>
      <c r="AR106">
        <v>0</v>
      </c>
      <c r="AT106">
        <v>0.076</v>
      </c>
      <c r="AV106">
        <v>0</v>
      </c>
      <c r="AW106">
        <v>2</v>
      </c>
      <c r="AX106">
        <v>55669139</v>
      </c>
      <c r="AY106">
        <v>1</v>
      </c>
      <c r="AZ106">
        <v>0</v>
      </c>
      <c r="BA106">
        <v>120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CX106">
        <f>Y106*Source!I57</f>
        <v>0.0048487999999999995</v>
      </c>
      <c r="CY106">
        <f t="shared" si="17"/>
        <v>3077.76</v>
      </c>
      <c r="CZ106">
        <f t="shared" si="18"/>
        <v>458</v>
      </c>
      <c r="DA106">
        <f t="shared" si="19"/>
        <v>6.72</v>
      </c>
      <c r="DB106">
        <f t="shared" si="20"/>
        <v>34.81</v>
      </c>
      <c r="DC106">
        <f t="shared" si="21"/>
        <v>0</v>
      </c>
    </row>
    <row r="107" spans="1:107" ht="12.75">
      <c r="A107">
        <f>ROW(Source!A57)</f>
        <v>57</v>
      </c>
      <c r="B107">
        <v>55668704</v>
      </c>
      <c r="C107">
        <v>55669120</v>
      </c>
      <c r="D107">
        <v>53660946</v>
      </c>
      <c r="E107">
        <v>1</v>
      </c>
      <c r="F107">
        <v>1</v>
      </c>
      <c r="G107">
        <v>1</v>
      </c>
      <c r="H107">
        <v>3</v>
      </c>
      <c r="I107" t="s">
        <v>337</v>
      </c>
      <c r="J107" t="s">
        <v>338</v>
      </c>
      <c r="K107" t="s">
        <v>339</v>
      </c>
      <c r="L107">
        <v>1346</v>
      </c>
      <c r="N107">
        <v>1009</v>
      </c>
      <c r="O107" t="s">
        <v>340</v>
      </c>
      <c r="P107" t="s">
        <v>340</v>
      </c>
      <c r="Q107">
        <v>1</v>
      </c>
      <c r="W107">
        <v>0</v>
      </c>
      <c r="X107">
        <v>1088760656</v>
      </c>
      <c r="Y107">
        <v>22.41</v>
      </c>
      <c r="AA107">
        <v>68.95</v>
      </c>
      <c r="AB107">
        <v>0</v>
      </c>
      <c r="AC107">
        <v>0</v>
      </c>
      <c r="AD107">
        <v>0</v>
      </c>
      <c r="AE107">
        <v>10.26</v>
      </c>
      <c r="AF107">
        <v>0</v>
      </c>
      <c r="AG107">
        <v>0</v>
      </c>
      <c r="AH107">
        <v>0</v>
      </c>
      <c r="AI107">
        <v>6.72</v>
      </c>
      <c r="AJ107">
        <v>1</v>
      </c>
      <c r="AK107">
        <v>1</v>
      </c>
      <c r="AL107">
        <v>1</v>
      </c>
      <c r="AN107">
        <v>0</v>
      </c>
      <c r="AO107">
        <v>1</v>
      </c>
      <c r="AP107">
        <v>0</v>
      </c>
      <c r="AQ107">
        <v>0</v>
      </c>
      <c r="AR107">
        <v>0</v>
      </c>
      <c r="AT107">
        <v>22.41</v>
      </c>
      <c r="AV107">
        <v>0</v>
      </c>
      <c r="AW107">
        <v>2</v>
      </c>
      <c r="AX107">
        <v>55669140</v>
      </c>
      <c r="AY107">
        <v>1</v>
      </c>
      <c r="AZ107">
        <v>0</v>
      </c>
      <c r="BA107">
        <v>121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CX107">
        <f>Y107*Source!I57</f>
        <v>1.4297579999999999</v>
      </c>
      <c r="CY107">
        <f t="shared" si="17"/>
        <v>68.95</v>
      </c>
      <c r="CZ107">
        <f t="shared" si="18"/>
        <v>10.26</v>
      </c>
      <c r="DA107">
        <f t="shared" si="19"/>
        <v>6.72</v>
      </c>
      <c r="DB107">
        <f t="shared" si="20"/>
        <v>229.93</v>
      </c>
      <c r="DC107">
        <f t="shared" si="21"/>
        <v>0</v>
      </c>
    </row>
    <row r="108" spans="1:107" ht="12.75">
      <c r="A108">
        <f>ROW(Source!A57)</f>
        <v>57</v>
      </c>
      <c r="B108">
        <v>55668704</v>
      </c>
      <c r="C108">
        <v>55669120</v>
      </c>
      <c r="D108">
        <v>53666237</v>
      </c>
      <c r="E108">
        <v>1</v>
      </c>
      <c r="F108">
        <v>1</v>
      </c>
      <c r="G108">
        <v>1</v>
      </c>
      <c r="H108">
        <v>3</v>
      </c>
      <c r="I108" t="s">
        <v>341</v>
      </c>
      <c r="J108" t="s">
        <v>342</v>
      </c>
      <c r="K108" t="s">
        <v>343</v>
      </c>
      <c r="L108">
        <v>1339</v>
      </c>
      <c r="N108">
        <v>1007</v>
      </c>
      <c r="O108" t="s">
        <v>305</v>
      </c>
      <c r="P108" t="s">
        <v>305</v>
      </c>
      <c r="Q108">
        <v>1</v>
      </c>
      <c r="W108">
        <v>0</v>
      </c>
      <c r="X108">
        <v>-896765309</v>
      </c>
      <c r="Y108">
        <v>0.07</v>
      </c>
      <c r="AA108">
        <v>7392</v>
      </c>
      <c r="AB108">
        <v>0</v>
      </c>
      <c r="AC108">
        <v>0</v>
      </c>
      <c r="AD108">
        <v>0</v>
      </c>
      <c r="AE108">
        <v>1100</v>
      </c>
      <c r="AF108">
        <v>0</v>
      </c>
      <c r="AG108">
        <v>0</v>
      </c>
      <c r="AH108">
        <v>0</v>
      </c>
      <c r="AI108">
        <v>6.72</v>
      </c>
      <c r="AJ108">
        <v>1</v>
      </c>
      <c r="AK108">
        <v>1</v>
      </c>
      <c r="AL108">
        <v>1</v>
      </c>
      <c r="AN108">
        <v>0</v>
      </c>
      <c r="AO108">
        <v>1</v>
      </c>
      <c r="AP108">
        <v>0</v>
      </c>
      <c r="AQ108">
        <v>0</v>
      </c>
      <c r="AR108">
        <v>0</v>
      </c>
      <c r="AT108">
        <v>0.07</v>
      </c>
      <c r="AV108">
        <v>0</v>
      </c>
      <c r="AW108">
        <v>2</v>
      </c>
      <c r="AX108">
        <v>55669141</v>
      </c>
      <c r="AY108">
        <v>1</v>
      </c>
      <c r="AZ108">
        <v>0</v>
      </c>
      <c r="BA108">
        <v>122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CX108">
        <f>Y108*Source!I57</f>
        <v>0.004466</v>
      </c>
      <c r="CY108">
        <f t="shared" si="17"/>
        <v>7392</v>
      </c>
      <c r="CZ108">
        <f t="shared" si="18"/>
        <v>1100</v>
      </c>
      <c r="DA108">
        <f t="shared" si="19"/>
        <v>6.72</v>
      </c>
      <c r="DB108">
        <f t="shared" si="20"/>
        <v>77</v>
      </c>
      <c r="DC108">
        <f t="shared" si="21"/>
        <v>0</v>
      </c>
    </row>
    <row r="109" spans="1:107" ht="12.75">
      <c r="A109">
        <f>ROW(Source!A57)</f>
        <v>57</v>
      </c>
      <c r="B109">
        <v>55668704</v>
      </c>
      <c r="C109">
        <v>55669120</v>
      </c>
      <c r="D109">
        <v>53674465</v>
      </c>
      <c r="E109">
        <v>1</v>
      </c>
      <c r="F109">
        <v>1</v>
      </c>
      <c r="G109">
        <v>1</v>
      </c>
      <c r="H109">
        <v>3</v>
      </c>
      <c r="I109" t="s">
        <v>344</v>
      </c>
      <c r="J109" t="s">
        <v>345</v>
      </c>
      <c r="K109" t="s">
        <v>346</v>
      </c>
      <c r="L109">
        <v>1296</v>
      </c>
      <c r="N109">
        <v>1002</v>
      </c>
      <c r="O109" t="s">
        <v>347</v>
      </c>
      <c r="P109" t="s">
        <v>347</v>
      </c>
      <c r="Q109">
        <v>1</v>
      </c>
      <c r="W109">
        <v>0</v>
      </c>
      <c r="X109">
        <v>-310994662</v>
      </c>
      <c r="Y109">
        <v>22.2</v>
      </c>
      <c r="AA109">
        <v>314.9</v>
      </c>
      <c r="AB109">
        <v>0</v>
      </c>
      <c r="AC109">
        <v>0</v>
      </c>
      <c r="AD109">
        <v>0</v>
      </c>
      <c r="AE109">
        <v>46.86</v>
      </c>
      <c r="AF109">
        <v>0</v>
      </c>
      <c r="AG109">
        <v>0</v>
      </c>
      <c r="AH109">
        <v>0</v>
      </c>
      <c r="AI109">
        <v>6.72</v>
      </c>
      <c r="AJ109">
        <v>1</v>
      </c>
      <c r="AK109">
        <v>1</v>
      </c>
      <c r="AL109">
        <v>1</v>
      </c>
      <c r="AN109">
        <v>0</v>
      </c>
      <c r="AO109">
        <v>1</v>
      </c>
      <c r="AP109">
        <v>0</v>
      </c>
      <c r="AQ109">
        <v>0</v>
      </c>
      <c r="AR109">
        <v>0</v>
      </c>
      <c r="AT109">
        <v>22.2</v>
      </c>
      <c r="AV109">
        <v>0</v>
      </c>
      <c r="AW109">
        <v>2</v>
      </c>
      <c r="AX109">
        <v>55669143</v>
      </c>
      <c r="AY109">
        <v>1</v>
      </c>
      <c r="AZ109">
        <v>0</v>
      </c>
      <c r="BA109">
        <v>124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CX109">
        <f>Y109*Source!I57</f>
        <v>1.4163599999999998</v>
      </c>
      <c r="CY109">
        <f t="shared" si="17"/>
        <v>314.9</v>
      </c>
      <c r="CZ109">
        <f t="shared" si="18"/>
        <v>46.86</v>
      </c>
      <c r="DA109">
        <f t="shared" si="19"/>
        <v>6.72</v>
      </c>
      <c r="DB109">
        <f t="shared" si="20"/>
        <v>1040.29</v>
      </c>
      <c r="DC109">
        <f t="shared" si="21"/>
        <v>0</v>
      </c>
    </row>
    <row r="110" spans="1:107" ht="12.75">
      <c r="A110">
        <f>ROW(Source!A57)</f>
        <v>57</v>
      </c>
      <c r="B110">
        <v>55668704</v>
      </c>
      <c r="C110">
        <v>55669120</v>
      </c>
      <c r="D110">
        <v>0</v>
      </c>
      <c r="E110">
        <v>1</v>
      </c>
      <c r="F110">
        <v>1</v>
      </c>
      <c r="G110">
        <v>1</v>
      </c>
      <c r="H110">
        <v>3</v>
      </c>
      <c r="I110" t="s">
        <v>79</v>
      </c>
      <c r="K110" t="s">
        <v>386</v>
      </c>
      <c r="L110">
        <v>1429</v>
      </c>
      <c r="N110">
        <v>1013</v>
      </c>
      <c r="O110" t="s">
        <v>115</v>
      </c>
      <c r="P110" t="s">
        <v>115</v>
      </c>
      <c r="Q110">
        <v>1</v>
      </c>
      <c r="W110">
        <v>0</v>
      </c>
      <c r="X110">
        <v>-872054346</v>
      </c>
      <c r="Y110">
        <v>31.347962</v>
      </c>
      <c r="AA110">
        <v>128480</v>
      </c>
      <c r="AB110">
        <v>0</v>
      </c>
      <c r="AC110">
        <v>0</v>
      </c>
      <c r="AD110">
        <v>0</v>
      </c>
      <c r="AE110">
        <v>128480</v>
      </c>
      <c r="AF110">
        <v>0</v>
      </c>
      <c r="AG110">
        <v>0</v>
      </c>
      <c r="AH110">
        <v>0</v>
      </c>
      <c r="AI110">
        <v>1</v>
      </c>
      <c r="AJ110">
        <v>1</v>
      </c>
      <c r="AK110">
        <v>1</v>
      </c>
      <c r="AL110">
        <v>1</v>
      </c>
      <c r="AN110">
        <v>0</v>
      </c>
      <c r="AO110">
        <v>0</v>
      </c>
      <c r="AP110">
        <v>0</v>
      </c>
      <c r="AQ110">
        <v>0</v>
      </c>
      <c r="AR110">
        <v>0</v>
      </c>
      <c r="AT110">
        <v>31.347962</v>
      </c>
      <c r="AV110">
        <v>0</v>
      </c>
      <c r="AW110">
        <v>1</v>
      </c>
      <c r="AX110">
        <v>-1</v>
      </c>
      <c r="AY110">
        <v>0</v>
      </c>
      <c r="AZ110">
        <v>0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CX110">
        <f>Y110*Source!I57</f>
        <v>1.9999999755999998</v>
      </c>
      <c r="CY110">
        <f t="shared" si="17"/>
        <v>128480</v>
      </c>
      <c r="CZ110">
        <f t="shared" si="18"/>
        <v>128480</v>
      </c>
      <c r="DA110">
        <f t="shared" si="19"/>
        <v>1</v>
      </c>
      <c r="DB110">
        <f t="shared" si="20"/>
        <v>4027586.16</v>
      </c>
      <c r="DC110">
        <f t="shared" si="21"/>
        <v>0</v>
      </c>
    </row>
    <row r="111" spans="1:107" ht="12.75">
      <c r="A111">
        <f>ROW(Source!A60)</f>
        <v>60</v>
      </c>
      <c r="B111">
        <v>55668703</v>
      </c>
      <c r="C111">
        <v>55669145</v>
      </c>
      <c r="D111">
        <v>53630105</v>
      </c>
      <c r="E111">
        <v>70</v>
      </c>
      <c r="F111">
        <v>1</v>
      </c>
      <c r="G111">
        <v>1</v>
      </c>
      <c r="H111">
        <v>1</v>
      </c>
      <c r="I111" t="s">
        <v>348</v>
      </c>
      <c r="K111" t="s">
        <v>349</v>
      </c>
      <c r="L111">
        <v>1191</v>
      </c>
      <c r="N111">
        <v>1013</v>
      </c>
      <c r="O111" t="s">
        <v>279</v>
      </c>
      <c r="P111" t="s">
        <v>279</v>
      </c>
      <c r="Q111">
        <v>1</v>
      </c>
      <c r="W111">
        <v>0</v>
      </c>
      <c r="X111">
        <v>1608048003</v>
      </c>
      <c r="Y111">
        <v>30.543999999999997</v>
      </c>
      <c r="AA111">
        <v>0</v>
      </c>
      <c r="AB111">
        <v>0</v>
      </c>
      <c r="AC111">
        <v>0</v>
      </c>
      <c r="AD111">
        <v>9.51</v>
      </c>
      <c r="AE111">
        <v>0</v>
      </c>
      <c r="AF111">
        <v>0</v>
      </c>
      <c r="AG111">
        <v>0</v>
      </c>
      <c r="AH111">
        <v>9.51</v>
      </c>
      <c r="AI111">
        <v>1</v>
      </c>
      <c r="AJ111">
        <v>1</v>
      </c>
      <c r="AK111">
        <v>1</v>
      </c>
      <c r="AL111">
        <v>1</v>
      </c>
      <c r="AN111">
        <v>0</v>
      </c>
      <c r="AO111">
        <v>1</v>
      </c>
      <c r="AP111">
        <v>1</v>
      </c>
      <c r="AQ111">
        <v>0</v>
      </c>
      <c r="AR111">
        <v>0</v>
      </c>
      <c r="AT111">
        <v>26.56</v>
      </c>
      <c r="AU111" t="s">
        <v>73</v>
      </c>
      <c r="AV111">
        <v>1</v>
      </c>
      <c r="AW111">
        <v>2</v>
      </c>
      <c r="AX111">
        <v>55669151</v>
      </c>
      <c r="AY111">
        <v>1</v>
      </c>
      <c r="AZ111">
        <v>0</v>
      </c>
      <c r="BA111">
        <v>125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CX111">
        <f>Y111*Source!I60</f>
        <v>0.61088</v>
      </c>
      <c r="CY111">
        <f>AD111</f>
        <v>9.51</v>
      </c>
      <c r="CZ111">
        <f>AH111</f>
        <v>9.51</v>
      </c>
      <c r="DA111">
        <f>AL111</f>
        <v>1</v>
      </c>
      <c r="DB111">
        <f>ROUND((ROUND(AT111*CZ111,2)*ROUND(1.15,7)),2)</f>
        <v>290.48</v>
      </c>
      <c r="DC111">
        <f>ROUND((ROUND(AT111*AG111,2)*ROUND(1.15,7)),2)</f>
        <v>0</v>
      </c>
    </row>
    <row r="112" spans="1:107" ht="12.75">
      <c r="A112">
        <f>ROW(Source!A60)</f>
        <v>60</v>
      </c>
      <c r="B112">
        <v>55668703</v>
      </c>
      <c r="C112">
        <v>55669145</v>
      </c>
      <c r="D112">
        <v>53630257</v>
      </c>
      <c r="E112">
        <v>70</v>
      </c>
      <c r="F112">
        <v>1</v>
      </c>
      <c r="G112">
        <v>1</v>
      </c>
      <c r="H112">
        <v>1</v>
      </c>
      <c r="I112" t="s">
        <v>280</v>
      </c>
      <c r="K112" t="s">
        <v>281</v>
      </c>
      <c r="L112">
        <v>1191</v>
      </c>
      <c r="N112">
        <v>1013</v>
      </c>
      <c r="O112" t="s">
        <v>279</v>
      </c>
      <c r="P112" t="s">
        <v>279</v>
      </c>
      <c r="Q112">
        <v>1</v>
      </c>
      <c r="W112">
        <v>0</v>
      </c>
      <c r="X112">
        <v>-1417349443</v>
      </c>
      <c r="Y112">
        <v>0.17500000000000002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0</v>
      </c>
      <c r="AI112">
        <v>1</v>
      </c>
      <c r="AJ112">
        <v>1</v>
      </c>
      <c r="AK112">
        <v>1</v>
      </c>
      <c r="AL112">
        <v>1</v>
      </c>
      <c r="AN112">
        <v>0</v>
      </c>
      <c r="AO112">
        <v>1</v>
      </c>
      <c r="AP112">
        <v>1</v>
      </c>
      <c r="AQ112">
        <v>0</v>
      </c>
      <c r="AR112">
        <v>0</v>
      </c>
      <c r="AT112">
        <v>0.14</v>
      </c>
      <c r="AU112" t="s">
        <v>72</v>
      </c>
      <c r="AV112">
        <v>2</v>
      </c>
      <c r="AW112">
        <v>2</v>
      </c>
      <c r="AX112">
        <v>55669152</v>
      </c>
      <c r="AY112">
        <v>1</v>
      </c>
      <c r="AZ112">
        <v>0</v>
      </c>
      <c r="BA112">
        <v>126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CX112">
        <f>Y112*Source!I60</f>
        <v>0.0035000000000000005</v>
      </c>
      <c r="CY112">
        <f>AD112</f>
        <v>0</v>
      </c>
      <c r="CZ112">
        <f>AH112</f>
        <v>0</v>
      </c>
      <c r="DA112">
        <f>AL112</f>
        <v>1</v>
      </c>
      <c r="DB112">
        <f>ROUND((ROUND(AT112*CZ112,2)*ROUND(1.25,7)),2)</f>
        <v>0</v>
      </c>
      <c r="DC112">
        <f>ROUND((ROUND(AT112*AG112,2)*ROUND(1.25,7)),2)</f>
        <v>0</v>
      </c>
    </row>
    <row r="113" spans="1:107" ht="12.75">
      <c r="A113">
        <f>ROW(Source!A60)</f>
        <v>60</v>
      </c>
      <c r="B113">
        <v>55668703</v>
      </c>
      <c r="C113">
        <v>55669145</v>
      </c>
      <c r="D113">
        <v>53791997</v>
      </c>
      <c r="E113">
        <v>1</v>
      </c>
      <c r="F113">
        <v>1</v>
      </c>
      <c r="G113">
        <v>1</v>
      </c>
      <c r="H113">
        <v>2</v>
      </c>
      <c r="I113" t="s">
        <v>282</v>
      </c>
      <c r="J113" t="s">
        <v>283</v>
      </c>
      <c r="K113" t="s">
        <v>284</v>
      </c>
      <c r="L113">
        <v>1367</v>
      </c>
      <c r="N113">
        <v>1011</v>
      </c>
      <c r="O113" t="s">
        <v>285</v>
      </c>
      <c r="P113" t="s">
        <v>285</v>
      </c>
      <c r="Q113">
        <v>1</v>
      </c>
      <c r="W113">
        <v>0</v>
      </c>
      <c r="X113">
        <v>-430484415</v>
      </c>
      <c r="Y113">
        <v>0.11249999999999999</v>
      </c>
      <c r="AA113">
        <v>0</v>
      </c>
      <c r="AB113">
        <v>115.4</v>
      </c>
      <c r="AC113">
        <v>13.5</v>
      </c>
      <c r="AD113">
        <v>0</v>
      </c>
      <c r="AE113">
        <v>0</v>
      </c>
      <c r="AF113">
        <v>115.4</v>
      </c>
      <c r="AG113">
        <v>13.5</v>
      </c>
      <c r="AH113">
        <v>0</v>
      </c>
      <c r="AI113">
        <v>1</v>
      </c>
      <c r="AJ113">
        <v>1</v>
      </c>
      <c r="AK113">
        <v>1</v>
      </c>
      <c r="AL113">
        <v>1</v>
      </c>
      <c r="AN113">
        <v>0</v>
      </c>
      <c r="AO113">
        <v>1</v>
      </c>
      <c r="AP113">
        <v>1</v>
      </c>
      <c r="AQ113">
        <v>0</v>
      </c>
      <c r="AR113">
        <v>0</v>
      </c>
      <c r="AT113">
        <v>0.09</v>
      </c>
      <c r="AU113" t="s">
        <v>72</v>
      </c>
      <c r="AV113">
        <v>0</v>
      </c>
      <c r="AW113">
        <v>2</v>
      </c>
      <c r="AX113">
        <v>55669153</v>
      </c>
      <c r="AY113">
        <v>1</v>
      </c>
      <c r="AZ113">
        <v>0</v>
      </c>
      <c r="BA113">
        <v>127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CX113">
        <f>Y113*Source!I60</f>
        <v>0.00225</v>
      </c>
      <c r="CY113">
        <f>AB113</f>
        <v>115.4</v>
      </c>
      <c r="CZ113">
        <f>AF113</f>
        <v>115.4</v>
      </c>
      <c r="DA113">
        <f>AJ113</f>
        <v>1</v>
      </c>
      <c r="DB113">
        <f>ROUND((ROUND(AT113*CZ113,2)*ROUND(1.25,7)),2)</f>
        <v>12.99</v>
      </c>
      <c r="DC113">
        <f>ROUND((ROUND(AT113*AG113,2)*ROUND(1.25,7)),2)</f>
        <v>1.53</v>
      </c>
    </row>
    <row r="114" spans="1:107" ht="12.75">
      <c r="A114">
        <f>ROW(Source!A60)</f>
        <v>60</v>
      </c>
      <c r="B114">
        <v>55668703</v>
      </c>
      <c r="C114">
        <v>55669145</v>
      </c>
      <c r="D114">
        <v>53792927</v>
      </c>
      <c r="E114">
        <v>1</v>
      </c>
      <c r="F114">
        <v>1</v>
      </c>
      <c r="G114">
        <v>1</v>
      </c>
      <c r="H114">
        <v>2</v>
      </c>
      <c r="I114" t="s">
        <v>289</v>
      </c>
      <c r="J114" t="s">
        <v>290</v>
      </c>
      <c r="K114" t="s">
        <v>291</v>
      </c>
      <c r="L114">
        <v>1367</v>
      </c>
      <c r="N114">
        <v>1011</v>
      </c>
      <c r="O114" t="s">
        <v>285</v>
      </c>
      <c r="P114" t="s">
        <v>285</v>
      </c>
      <c r="Q114">
        <v>1</v>
      </c>
      <c r="W114">
        <v>0</v>
      </c>
      <c r="X114">
        <v>509054691</v>
      </c>
      <c r="Y114">
        <v>0.0625</v>
      </c>
      <c r="AA114">
        <v>0</v>
      </c>
      <c r="AB114">
        <v>65.71</v>
      </c>
      <c r="AC114">
        <v>11.6</v>
      </c>
      <c r="AD114">
        <v>0</v>
      </c>
      <c r="AE114">
        <v>0</v>
      </c>
      <c r="AF114">
        <v>65.71</v>
      </c>
      <c r="AG114">
        <v>11.6</v>
      </c>
      <c r="AH114">
        <v>0</v>
      </c>
      <c r="AI114">
        <v>1</v>
      </c>
      <c r="AJ114">
        <v>1</v>
      </c>
      <c r="AK114">
        <v>1</v>
      </c>
      <c r="AL114">
        <v>1</v>
      </c>
      <c r="AN114">
        <v>0</v>
      </c>
      <c r="AO114">
        <v>1</v>
      </c>
      <c r="AP114">
        <v>1</v>
      </c>
      <c r="AQ114">
        <v>0</v>
      </c>
      <c r="AR114">
        <v>0</v>
      </c>
      <c r="AT114">
        <v>0.05</v>
      </c>
      <c r="AU114" t="s">
        <v>72</v>
      </c>
      <c r="AV114">
        <v>0</v>
      </c>
      <c r="AW114">
        <v>2</v>
      </c>
      <c r="AX114">
        <v>55669154</v>
      </c>
      <c r="AY114">
        <v>1</v>
      </c>
      <c r="AZ114">
        <v>0</v>
      </c>
      <c r="BA114">
        <v>128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  <c r="CX114">
        <f>Y114*Source!I60</f>
        <v>0.00125</v>
      </c>
      <c r="CY114">
        <f>AB114</f>
        <v>65.71</v>
      </c>
      <c r="CZ114">
        <f>AF114</f>
        <v>65.71</v>
      </c>
      <c r="DA114">
        <f>AJ114</f>
        <v>1</v>
      </c>
      <c r="DB114">
        <f>ROUND((ROUND(AT114*CZ114,2)*ROUND(1.25,7)),2)</f>
        <v>4.11</v>
      </c>
      <c r="DC114">
        <f>ROUND((ROUND(AT114*AG114,2)*ROUND(1.25,7)),2)</f>
        <v>0.73</v>
      </c>
    </row>
    <row r="115" spans="1:107" ht="12.75">
      <c r="A115">
        <f>ROW(Source!A60)</f>
        <v>60</v>
      </c>
      <c r="B115">
        <v>55668703</v>
      </c>
      <c r="C115">
        <v>55669145</v>
      </c>
      <c r="D115">
        <v>53642567</v>
      </c>
      <c r="E115">
        <v>1</v>
      </c>
      <c r="F115">
        <v>1</v>
      </c>
      <c r="G115">
        <v>1</v>
      </c>
      <c r="H115">
        <v>3</v>
      </c>
      <c r="I115" t="s">
        <v>350</v>
      </c>
      <c r="J115" t="s">
        <v>351</v>
      </c>
      <c r="K115" t="s">
        <v>352</v>
      </c>
      <c r="L115">
        <v>1383</v>
      </c>
      <c r="N115">
        <v>1013</v>
      </c>
      <c r="O115" t="s">
        <v>353</v>
      </c>
      <c r="P115" t="s">
        <v>353</v>
      </c>
      <c r="Q115">
        <v>1</v>
      </c>
      <c r="W115">
        <v>0</v>
      </c>
      <c r="X115">
        <v>-180864722</v>
      </c>
      <c r="Y115">
        <v>5.5</v>
      </c>
      <c r="AA115">
        <v>0.4</v>
      </c>
      <c r="AB115">
        <v>0</v>
      </c>
      <c r="AC115">
        <v>0</v>
      </c>
      <c r="AD115">
        <v>0</v>
      </c>
      <c r="AE115">
        <v>0.4</v>
      </c>
      <c r="AF115">
        <v>0</v>
      </c>
      <c r="AG115">
        <v>0</v>
      </c>
      <c r="AH115">
        <v>0</v>
      </c>
      <c r="AI115">
        <v>1</v>
      </c>
      <c r="AJ115">
        <v>1</v>
      </c>
      <c r="AK115">
        <v>1</v>
      </c>
      <c r="AL115">
        <v>1</v>
      </c>
      <c r="AN115">
        <v>0</v>
      </c>
      <c r="AO115">
        <v>1</v>
      </c>
      <c r="AP115">
        <v>0</v>
      </c>
      <c r="AQ115">
        <v>0</v>
      </c>
      <c r="AR115">
        <v>0</v>
      </c>
      <c r="AT115">
        <v>5.5</v>
      </c>
      <c r="AV115">
        <v>0</v>
      </c>
      <c r="AW115">
        <v>2</v>
      </c>
      <c r="AX115">
        <v>55669155</v>
      </c>
      <c r="AY115">
        <v>1</v>
      </c>
      <c r="AZ115">
        <v>0</v>
      </c>
      <c r="BA115">
        <v>129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CX115">
        <f>Y115*Source!I60</f>
        <v>0.11</v>
      </c>
      <c r="CY115">
        <f>AA115</f>
        <v>0.4</v>
      </c>
      <c r="CZ115">
        <f>AE115</f>
        <v>0.4</v>
      </c>
      <c r="DA115">
        <f>AI115</f>
        <v>1</v>
      </c>
      <c r="DB115">
        <f>ROUND(ROUND(AT115*CZ115,2),2)</f>
        <v>2.2</v>
      </c>
      <c r="DC115">
        <f>ROUND(ROUND(AT115*AG115,2),2)</f>
        <v>0</v>
      </c>
    </row>
    <row r="116" spans="1:107" ht="12.75">
      <c r="A116">
        <f>ROW(Source!A61)</f>
        <v>61</v>
      </c>
      <c r="B116">
        <v>55668704</v>
      </c>
      <c r="C116">
        <v>55669145</v>
      </c>
      <c r="D116">
        <v>53630105</v>
      </c>
      <c r="E116">
        <v>70</v>
      </c>
      <c r="F116">
        <v>1</v>
      </c>
      <c r="G116">
        <v>1</v>
      </c>
      <c r="H116">
        <v>1</v>
      </c>
      <c r="I116" t="s">
        <v>348</v>
      </c>
      <c r="K116" t="s">
        <v>349</v>
      </c>
      <c r="L116">
        <v>1191</v>
      </c>
      <c r="N116">
        <v>1013</v>
      </c>
      <c r="O116" t="s">
        <v>279</v>
      </c>
      <c r="P116" t="s">
        <v>279</v>
      </c>
      <c r="Q116">
        <v>1</v>
      </c>
      <c r="W116">
        <v>0</v>
      </c>
      <c r="X116">
        <v>1608048003</v>
      </c>
      <c r="Y116">
        <v>30.543999999999997</v>
      </c>
      <c r="AA116">
        <v>0</v>
      </c>
      <c r="AB116">
        <v>0</v>
      </c>
      <c r="AC116">
        <v>0</v>
      </c>
      <c r="AD116">
        <v>355.1</v>
      </c>
      <c r="AE116">
        <v>0</v>
      </c>
      <c r="AF116">
        <v>0</v>
      </c>
      <c r="AG116">
        <v>0</v>
      </c>
      <c r="AH116">
        <v>9.51</v>
      </c>
      <c r="AI116">
        <v>1</v>
      </c>
      <c r="AJ116">
        <v>1</v>
      </c>
      <c r="AK116">
        <v>1</v>
      </c>
      <c r="AL116">
        <v>37.34</v>
      </c>
      <c r="AN116">
        <v>0</v>
      </c>
      <c r="AO116">
        <v>1</v>
      </c>
      <c r="AP116">
        <v>1</v>
      </c>
      <c r="AQ116">
        <v>0</v>
      </c>
      <c r="AR116">
        <v>0</v>
      </c>
      <c r="AT116">
        <v>26.56</v>
      </c>
      <c r="AU116" t="s">
        <v>73</v>
      </c>
      <c r="AV116">
        <v>1</v>
      </c>
      <c r="AW116">
        <v>2</v>
      </c>
      <c r="AX116">
        <v>55669151</v>
      </c>
      <c r="AY116">
        <v>1</v>
      </c>
      <c r="AZ116">
        <v>0</v>
      </c>
      <c r="BA116">
        <v>131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CX116">
        <f>Y116*Source!I61</f>
        <v>0.61088</v>
      </c>
      <c r="CY116">
        <f>AD116</f>
        <v>355.1</v>
      </c>
      <c r="CZ116">
        <f>AH116</f>
        <v>9.51</v>
      </c>
      <c r="DA116">
        <f>AL116</f>
        <v>37.34</v>
      </c>
      <c r="DB116">
        <f>ROUND((ROUND(AT116*CZ116,2)*ROUND(1.15,7)),2)</f>
        <v>290.48</v>
      </c>
      <c r="DC116">
        <f>ROUND((ROUND(AT116*AG116,2)*ROUND(1.15,7)),2)</f>
        <v>0</v>
      </c>
    </row>
    <row r="117" spans="1:107" ht="12.75">
      <c r="A117">
        <f>ROW(Source!A61)</f>
        <v>61</v>
      </c>
      <c r="B117">
        <v>55668704</v>
      </c>
      <c r="C117">
        <v>55669145</v>
      </c>
      <c r="D117">
        <v>53630257</v>
      </c>
      <c r="E117">
        <v>70</v>
      </c>
      <c r="F117">
        <v>1</v>
      </c>
      <c r="G117">
        <v>1</v>
      </c>
      <c r="H117">
        <v>1</v>
      </c>
      <c r="I117" t="s">
        <v>280</v>
      </c>
      <c r="K117" t="s">
        <v>281</v>
      </c>
      <c r="L117">
        <v>1191</v>
      </c>
      <c r="N117">
        <v>1013</v>
      </c>
      <c r="O117" t="s">
        <v>279</v>
      </c>
      <c r="P117" t="s">
        <v>279</v>
      </c>
      <c r="Q117">
        <v>1</v>
      </c>
      <c r="W117">
        <v>0</v>
      </c>
      <c r="X117">
        <v>-1417349443</v>
      </c>
      <c r="Y117">
        <v>0.17500000000000002</v>
      </c>
      <c r="AA117">
        <v>0</v>
      </c>
      <c r="AB117">
        <v>0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v>0</v>
      </c>
      <c r="AI117">
        <v>1</v>
      </c>
      <c r="AJ117">
        <v>1</v>
      </c>
      <c r="AK117">
        <v>37.34</v>
      </c>
      <c r="AL117">
        <v>1</v>
      </c>
      <c r="AN117">
        <v>0</v>
      </c>
      <c r="AO117">
        <v>1</v>
      </c>
      <c r="AP117">
        <v>1</v>
      </c>
      <c r="AQ117">
        <v>0</v>
      </c>
      <c r="AR117">
        <v>0</v>
      </c>
      <c r="AT117">
        <v>0.14</v>
      </c>
      <c r="AU117" t="s">
        <v>72</v>
      </c>
      <c r="AV117">
        <v>2</v>
      </c>
      <c r="AW117">
        <v>2</v>
      </c>
      <c r="AX117">
        <v>55669152</v>
      </c>
      <c r="AY117">
        <v>1</v>
      </c>
      <c r="AZ117">
        <v>0</v>
      </c>
      <c r="BA117">
        <v>132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CX117">
        <f>Y117*Source!I61</f>
        <v>0.0035000000000000005</v>
      </c>
      <c r="CY117">
        <f>AD117</f>
        <v>0</v>
      </c>
      <c r="CZ117">
        <f>AH117</f>
        <v>0</v>
      </c>
      <c r="DA117">
        <f>AL117</f>
        <v>1</v>
      </c>
      <c r="DB117">
        <f>ROUND((ROUND(AT117*CZ117,2)*ROUND(1.25,7)),2)</f>
        <v>0</v>
      </c>
      <c r="DC117">
        <f>ROUND((ROUND(AT117*AG117,2)*ROUND(1.25,7)),2)</f>
        <v>0</v>
      </c>
    </row>
    <row r="118" spans="1:107" ht="12.75">
      <c r="A118">
        <f>ROW(Source!A61)</f>
        <v>61</v>
      </c>
      <c r="B118">
        <v>55668704</v>
      </c>
      <c r="C118">
        <v>55669145</v>
      </c>
      <c r="D118">
        <v>53791997</v>
      </c>
      <c r="E118">
        <v>1</v>
      </c>
      <c r="F118">
        <v>1</v>
      </c>
      <c r="G118">
        <v>1</v>
      </c>
      <c r="H118">
        <v>2</v>
      </c>
      <c r="I118" t="s">
        <v>282</v>
      </c>
      <c r="J118" t="s">
        <v>283</v>
      </c>
      <c r="K118" t="s">
        <v>284</v>
      </c>
      <c r="L118">
        <v>1367</v>
      </c>
      <c r="N118">
        <v>1011</v>
      </c>
      <c r="O118" t="s">
        <v>285</v>
      </c>
      <c r="P118" t="s">
        <v>285</v>
      </c>
      <c r="Q118">
        <v>1</v>
      </c>
      <c r="W118">
        <v>0</v>
      </c>
      <c r="X118">
        <v>-430484415</v>
      </c>
      <c r="Y118">
        <v>0.11249999999999999</v>
      </c>
      <c r="AA118">
        <v>0</v>
      </c>
      <c r="AB118">
        <v>1527.9</v>
      </c>
      <c r="AC118">
        <v>504.09</v>
      </c>
      <c r="AD118">
        <v>0</v>
      </c>
      <c r="AE118">
        <v>0</v>
      </c>
      <c r="AF118">
        <v>115.4</v>
      </c>
      <c r="AG118">
        <v>13.5</v>
      </c>
      <c r="AH118">
        <v>0</v>
      </c>
      <c r="AI118">
        <v>1</v>
      </c>
      <c r="AJ118">
        <v>13.24</v>
      </c>
      <c r="AK118">
        <v>37.34</v>
      </c>
      <c r="AL118">
        <v>1</v>
      </c>
      <c r="AN118">
        <v>0</v>
      </c>
      <c r="AO118">
        <v>1</v>
      </c>
      <c r="AP118">
        <v>1</v>
      </c>
      <c r="AQ118">
        <v>0</v>
      </c>
      <c r="AR118">
        <v>0</v>
      </c>
      <c r="AT118">
        <v>0.09</v>
      </c>
      <c r="AU118" t="s">
        <v>72</v>
      </c>
      <c r="AV118">
        <v>0</v>
      </c>
      <c r="AW118">
        <v>2</v>
      </c>
      <c r="AX118">
        <v>55669153</v>
      </c>
      <c r="AY118">
        <v>1</v>
      </c>
      <c r="AZ118">
        <v>0</v>
      </c>
      <c r="BA118">
        <v>133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CX118">
        <f>Y118*Source!I61</f>
        <v>0.00225</v>
      </c>
      <c r="CY118">
        <f>AB118</f>
        <v>1527.9</v>
      </c>
      <c r="CZ118">
        <f>AF118</f>
        <v>115.4</v>
      </c>
      <c r="DA118">
        <f>AJ118</f>
        <v>13.24</v>
      </c>
      <c r="DB118">
        <f>ROUND((ROUND(AT118*CZ118,2)*ROUND(1.25,7)),2)</f>
        <v>12.99</v>
      </c>
      <c r="DC118">
        <f>ROUND((ROUND(AT118*AG118,2)*ROUND(1.25,7)),2)</f>
        <v>1.53</v>
      </c>
    </row>
    <row r="119" spans="1:107" ht="12.75">
      <c r="A119">
        <f>ROW(Source!A61)</f>
        <v>61</v>
      </c>
      <c r="B119">
        <v>55668704</v>
      </c>
      <c r="C119">
        <v>55669145</v>
      </c>
      <c r="D119">
        <v>53792927</v>
      </c>
      <c r="E119">
        <v>1</v>
      </c>
      <c r="F119">
        <v>1</v>
      </c>
      <c r="G119">
        <v>1</v>
      </c>
      <c r="H119">
        <v>2</v>
      </c>
      <c r="I119" t="s">
        <v>289</v>
      </c>
      <c r="J119" t="s">
        <v>290</v>
      </c>
      <c r="K119" t="s">
        <v>291</v>
      </c>
      <c r="L119">
        <v>1367</v>
      </c>
      <c r="N119">
        <v>1011</v>
      </c>
      <c r="O119" t="s">
        <v>285</v>
      </c>
      <c r="P119" t="s">
        <v>285</v>
      </c>
      <c r="Q119">
        <v>1</v>
      </c>
      <c r="W119">
        <v>0</v>
      </c>
      <c r="X119">
        <v>509054691</v>
      </c>
      <c r="Y119">
        <v>0.0625</v>
      </c>
      <c r="AA119">
        <v>0</v>
      </c>
      <c r="AB119">
        <v>870</v>
      </c>
      <c r="AC119">
        <v>433.14</v>
      </c>
      <c r="AD119">
        <v>0</v>
      </c>
      <c r="AE119">
        <v>0</v>
      </c>
      <c r="AF119">
        <v>65.71</v>
      </c>
      <c r="AG119">
        <v>11.6</v>
      </c>
      <c r="AH119">
        <v>0</v>
      </c>
      <c r="AI119">
        <v>1</v>
      </c>
      <c r="AJ119">
        <v>13.24</v>
      </c>
      <c r="AK119">
        <v>37.34</v>
      </c>
      <c r="AL119">
        <v>1</v>
      </c>
      <c r="AN119">
        <v>0</v>
      </c>
      <c r="AO119">
        <v>1</v>
      </c>
      <c r="AP119">
        <v>1</v>
      </c>
      <c r="AQ119">
        <v>0</v>
      </c>
      <c r="AR119">
        <v>0</v>
      </c>
      <c r="AT119">
        <v>0.05</v>
      </c>
      <c r="AU119" t="s">
        <v>72</v>
      </c>
      <c r="AV119">
        <v>0</v>
      </c>
      <c r="AW119">
        <v>2</v>
      </c>
      <c r="AX119">
        <v>55669154</v>
      </c>
      <c r="AY119">
        <v>1</v>
      </c>
      <c r="AZ119">
        <v>0</v>
      </c>
      <c r="BA119">
        <v>134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CX119">
        <f>Y119*Source!I61</f>
        <v>0.00125</v>
      </c>
      <c r="CY119">
        <f>AB119</f>
        <v>870</v>
      </c>
      <c r="CZ119">
        <f>AF119</f>
        <v>65.71</v>
      </c>
      <c r="DA119">
        <f>AJ119</f>
        <v>13.24</v>
      </c>
      <c r="DB119">
        <f>ROUND((ROUND(AT119*CZ119,2)*ROUND(1.25,7)),2)</f>
        <v>4.11</v>
      </c>
      <c r="DC119">
        <f>ROUND((ROUND(AT119*AG119,2)*ROUND(1.25,7)),2)</f>
        <v>0.73</v>
      </c>
    </row>
    <row r="120" spans="1:107" ht="12.75">
      <c r="A120">
        <f>ROW(Source!A61)</f>
        <v>61</v>
      </c>
      <c r="B120">
        <v>55668704</v>
      </c>
      <c r="C120">
        <v>55669145</v>
      </c>
      <c r="D120">
        <v>53642567</v>
      </c>
      <c r="E120">
        <v>1</v>
      </c>
      <c r="F120">
        <v>1</v>
      </c>
      <c r="G120">
        <v>1</v>
      </c>
      <c r="H120">
        <v>3</v>
      </c>
      <c r="I120" t="s">
        <v>350</v>
      </c>
      <c r="J120" t="s">
        <v>351</v>
      </c>
      <c r="K120" t="s">
        <v>352</v>
      </c>
      <c r="L120">
        <v>1383</v>
      </c>
      <c r="N120">
        <v>1013</v>
      </c>
      <c r="O120" t="s">
        <v>353</v>
      </c>
      <c r="P120" t="s">
        <v>353</v>
      </c>
      <c r="Q120">
        <v>1</v>
      </c>
      <c r="W120">
        <v>0</v>
      </c>
      <c r="X120">
        <v>-180864722</v>
      </c>
      <c r="Y120">
        <v>5.5</v>
      </c>
      <c r="AA120">
        <v>2.69</v>
      </c>
      <c r="AB120">
        <v>0</v>
      </c>
      <c r="AC120">
        <v>0</v>
      </c>
      <c r="AD120">
        <v>0</v>
      </c>
      <c r="AE120">
        <v>0.4</v>
      </c>
      <c r="AF120">
        <v>0</v>
      </c>
      <c r="AG120">
        <v>0</v>
      </c>
      <c r="AH120">
        <v>0</v>
      </c>
      <c r="AI120">
        <v>6.72</v>
      </c>
      <c r="AJ120">
        <v>1</v>
      </c>
      <c r="AK120">
        <v>1</v>
      </c>
      <c r="AL120">
        <v>1</v>
      </c>
      <c r="AN120">
        <v>0</v>
      </c>
      <c r="AO120">
        <v>1</v>
      </c>
      <c r="AP120">
        <v>0</v>
      </c>
      <c r="AQ120">
        <v>0</v>
      </c>
      <c r="AR120">
        <v>0</v>
      </c>
      <c r="AT120">
        <v>5.5</v>
      </c>
      <c r="AV120">
        <v>0</v>
      </c>
      <c r="AW120">
        <v>2</v>
      </c>
      <c r="AX120">
        <v>55669155</v>
      </c>
      <c r="AY120">
        <v>1</v>
      </c>
      <c r="AZ120">
        <v>0</v>
      </c>
      <c r="BA120">
        <v>135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CX120">
        <f>Y120*Source!I61</f>
        <v>0.11</v>
      </c>
      <c r="CY120">
        <f>AA120</f>
        <v>2.69</v>
      </c>
      <c r="CZ120">
        <f>AE120</f>
        <v>0.4</v>
      </c>
      <c r="DA120">
        <f>AI120</f>
        <v>6.72</v>
      </c>
      <c r="DB120">
        <f>ROUND(ROUND(AT120*CZ120,2),2)</f>
        <v>2.2</v>
      </c>
      <c r="DC120">
        <f>ROUND(ROUND(AT120*AG120,2),2)</f>
        <v>0</v>
      </c>
    </row>
    <row r="121" spans="1:107" ht="12.75">
      <c r="A121">
        <f>ROW(Source!A98)</f>
        <v>98</v>
      </c>
      <c r="B121">
        <v>55668703</v>
      </c>
      <c r="C121">
        <v>55669171</v>
      </c>
      <c r="D121">
        <v>9670109</v>
      </c>
      <c r="E121">
        <v>1</v>
      </c>
      <c r="F121">
        <v>1</v>
      </c>
      <c r="G121">
        <v>1</v>
      </c>
      <c r="H121">
        <v>1</v>
      </c>
      <c r="I121" t="s">
        <v>354</v>
      </c>
      <c r="K121" t="s">
        <v>355</v>
      </c>
      <c r="L121">
        <v>1369</v>
      </c>
      <c r="N121">
        <v>1013</v>
      </c>
      <c r="O121" t="s">
        <v>356</v>
      </c>
      <c r="P121" t="s">
        <v>356</v>
      </c>
      <c r="Q121">
        <v>1</v>
      </c>
      <c r="W121">
        <v>0</v>
      </c>
      <c r="X121">
        <v>317644410</v>
      </c>
      <c r="Y121">
        <v>0.5777</v>
      </c>
      <c r="AA121">
        <v>0</v>
      </c>
      <c r="AB121">
        <v>0</v>
      </c>
      <c r="AC121">
        <v>0</v>
      </c>
      <c r="AD121">
        <v>7.19</v>
      </c>
      <c r="AE121">
        <v>0</v>
      </c>
      <c r="AF121">
        <v>0</v>
      </c>
      <c r="AG121">
        <v>0</v>
      </c>
      <c r="AH121">
        <v>7.19</v>
      </c>
      <c r="AI121">
        <v>1</v>
      </c>
      <c r="AJ121">
        <v>1</v>
      </c>
      <c r="AK121">
        <v>1</v>
      </c>
      <c r="AL121">
        <v>1</v>
      </c>
      <c r="AN121">
        <v>0</v>
      </c>
      <c r="AO121">
        <v>1</v>
      </c>
      <c r="AP121">
        <v>0</v>
      </c>
      <c r="AQ121">
        <v>0</v>
      </c>
      <c r="AR121">
        <v>0</v>
      </c>
      <c r="AT121">
        <v>0.5777</v>
      </c>
      <c r="AV121">
        <v>1</v>
      </c>
      <c r="AW121">
        <v>1</v>
      </c>
      <c r="AX121">
        <v>-1</v>
      </c>
      <c r="AY121">
        <v>0</v>
      </c>
      <c r="AZ121">
        <v>0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CX121">
        <f>Y121*Source!I98</f>
        <v>1.0976299999999999</v>
      </c>
      <c r="CY121">
        <f>AD121</f>
        <v>7.19</v>
      </c>
      <c r="CZ121">
        <f>AH121</f>
        <v>7.19</v>
      </c>
      <c r="DA121">
        <f>AL121</f>
        <v>1</v>
      </c>
      <c r="DB121">
        <f>ROUND(ROUND(AT121*CZ121,2),2)</f>
        <v>4.15</v>
      </c>
      <c r="DC121">
        <f>ROUND(ROUND(AT121*AG121,2),2)</f>
        <v>0</v>
      </c>
    </row>
    <row r="122" spans="1:107" ht="12.75">
      <c r="A122">
        <f>ROW(Source!A98)</f>
        <v>98</v>
      </c>
      <c r="B122">
        <v>55668703</v>
      </c>
      <c r="C122">
        <v>55669171</v>
      </c>
      <c r="D122">
        <v>53792933</v>
      </c>
      <c r="E122">
        <v>1</v>
      </c>
      <c r="F122">
        <v>1</v>
      </c>
      <c r="G122">
        <v>1</v>
      </c>
      <c r="H122">
        <v>2</v>
      </c>
      <c r="I122" t="s">
        <v>357</v>
      </c>
      <c r="J122" t="s">
        <v>358</v>
      </c>
      <c r="K122" t="s">
        <v>359</v>
      </c>
      <c r="L122">
        <v>1367</v>
      </c>
      <c r="N122">
        <v>1011</v>
      </c>
      <c r="O122" t="s">
        <v>285</v>
      </c>
      <c r="P122" t="s">
        <v>285</v>
      </c>
      <c r="Q122">
        <v>1</v>
      </c>
      <c r="W122">
        <v>0</v>
      </c>
      <c r="X122">
        <v>1222335095</v>
      </c>
      <c r="Y122">
        <v>0.29</v>
      </c>
      <c r="AA122">
        <v>0</v>
      </c>
      <c r="AB122">
        <v>89.54</v>
      </c>
      <c r="AC122">
        <v>11.6</v>
      </c>
      <c r="AD122">
        <v>0</v>
      </c>
      <c r="AE122">
        <v>0</v>
      </c>
      <c r="AF122">
        <v>89.54</v>
      </c>
      <c r="AG122">
        <v>11.6</v>
      </c>
      <c r="AH122">
        <v>0</v>
      </c>
      <c r="AI122">
        <v>1</v>
      </c>
      <c r="AJ122">
        <v>1</v>
      </c>
      <c r="AK122">
        <v>1</v>
      </c>
      <c r="AL122">
        <v>1</v>
      </c>
      <c r="AN122">
        <v>0</v>
      </c>
      <c r="AO122">
        <v>1</v>
      </c>
      <c r="AP122">
        <v>0</v>
      </c>
      <c r="AQ122">
        <v>0</v>
      </c>
      <c r="AR122">
        <v>0</v>
      </c>
      <c r="AT122">
        <v>0.29</v>
      </c>
      <c r="AV122">
        <v>0</v>
      </c>
      <c r="AW122">
        <v>1</v>
      </c>
      <c r="AX122">
        <v>-1</v>
      </c>
      <c r="AY122">
        <v>0</v>
      </c>
      <c r="AZ122">
        <v>0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CX122">
        <f>Y122*Source!I98</f>
        <v>0.5509999999999999</v>
      </c>
      <c r="CY122">
        <f>AB122</f>
        <v>89.54</v>
      </c>
      <c r="CZ122">
        <f>AF122</f>
        <v>89.54</v>
      </c>
      <c r="DA122">
        <f>AJ122</f>
        <v>1</v>
      </c>
      <c r="DB122">
        <f>ROUND(ROUND(AT122*CZ122,2),2)</f>
        <v>25.97</v>
      </c>
      <c r="DC122">
        <f>ROUND(ROUND(AT122*AG122,2),2)</f>
        <v>3.36</v>
      </c>
    </row>
    <row r="123" spans="1:107" ht="12.75">
      <c r="A123">
        <f>ROW(Source!A99)</f>
        <v>99</v>
      </c>
      <c r="B123">
        <v>55668704</v>
      </c>
      <c r="C123">
        <v>55669171</v>
      </c>
      <c r="D123">
        <v>9670109</v>
      </c>
      <c r="E123">
        <v>1</v>
      </c>
      <c r="F123">
        <v>1</v>
      </c>
      <c r="G123">
        <v>1</v>
      </c>
      <c r="H123">
        <v>1</v>
      </c>
      <c r="I123" t="s">
        <v>354</v>
      </c>
      <c r="K123" t="s">
        <v>355</v>
      </c>
      <c r="L123">
        <v>1369</v>
      </c>
      <c r="N123">
        <v>1013</v>
      </c>
      <c r="O123" t="s">
        <v>356</v>
      </c>
      <c r="P123" t="s">
        <v>356</v>
      </c>
      <c r="Q123">
        <v>1</v>
      </c>
      <c r="W123">
        <v>0</v>
      </c>
      <c r="X123">
        <v>317644410</v>
      </c>
      <c r="Y123">
        <v>0.5777</v>
      </c>
      <c r="AA123">
        <v>0</v>
      </c>
      <c r="AB123">
        <v>0</v>
      </c>
      <c r="AC123">
        <v>0</v>
      </c>
      <c r="AD123">
        <v>268.47</v>
      </c>
      <c r="AE123">
        <v>0</v>
      </c>
      <c r="AF123">
        <v>0</v>
      </c>
      <c r="AG123">
        <v>0</v>
      </c>
      <c r="AH123">
        <v>7.19</v>
      </c>
      <c r="AI123">
        <v>1</v>
      </c>
      <c r="AJ123">
        <v>1</v>
      </c>
      <c r="AK123">
        <v>1</v>
      </c>
      <c r="AL123">
        <v>37.34</v>
      </c>
      <c r="AN123">
        <v>0</v>
      </c>
      <c r="AO123">
        <v>1</v>
      </c>
      <c r="AP123">
        <v>0</v>
      </c>
      <c r="AQ123">
        <v>0</v>
      </c>
      <c r="AR123">
        <v>0</v>
      </c>
      <c r="AT123">
        <v>0.5777</v>
      </c>
      <c r="AV123">
        <v>1</v>
      </c>
      <c r="AW123">
        <v>1</v>
      </c>
      <c r="AX123">
        <v>-1</v>
      </c>
      <c r="AY123">
        <v>0</v>
      </c>
      <c r="AZ123">
        <v>0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CX123">
        <f>Y123*Source!I99</f>
        <v>1.0976299999999999</v>
      </c>
      <c r="CY123">
        <f>AD123</f>
        <v>268.47</v>
      </c>
      <c r="CZ123">
        <f>AH123</f>
        <v>7.19</v>
      </c>
      <c r="DA123">
        <f>AL123</f>
        <v>37.34</v>
      </c>
      <c r="DB123">
        <f>ROUND(ROUND(AT123*CZ123,2),2)</f>
        <v>4.15</v>
      </c>
      <c r="DC123">
        <f>ROUND(ROUND(AT123*AG123,2),2)</f>
        <v>0</v>
      </c>
    </row>
    <row r="124" spans="1:107" ht="12.75">
      <c r="A124">
        <f>ROW(Source!A99)</f>
        <v>99</v>
      </c>
      <c r="B124">
        <v>55668704</v>
      </c>
      <c r="C124">
        <v>55669171</v>
      </c>
      <c r="D124">
        <v>53792933</v>
      </c>
      <c r="E124">
        <v>1</v>
      </c>
      <c r="F124">
        <v>1</v>
      </c>
      <c r="G124">
        <v>1</v>
      </c>
      <c r="H124">
        <v>2</v>
      </c>
      <c r="I124" t="s">
        <v>357</v>
      </c>
      <c r="J124" t="s">
        <v>358</v>
      </c>
      <c r="K124" t="s">
        <v>359</v>
      </c>
      <c r="L124">
        <v>1367</v>
      </c>
      <c r="N124">
        <v>1011</v>
      </c>
      <c r="O124" t="s">
        <v>285</v>
      </c>
      <c r="P124" t="s">
        <v>285</v>
      </c>
      <c r="Q124">
        <v>1</v>
      </c>
      <c r="W124">
        <v>0</v>
      </c>
      <c r="X124">
        <v>1222335095</v>
      </c>
      <c r="Y124">
        <v>0.29</v>
      </c>
      <c r="AA124">
        <v>0</v>
      </c>
      <c r="AB124">
        <v>1185.51</v>
      </c>
      <c r="AC124">
        <v>433.14</v>
      </c>
      <c r="AD124">
        <v>0</v>
      </c>
      <c r="AE124">
        <v>0</v>
      </c>
      <c r="AF124">
        <v>89.54</v>
      </c>
      <c r="AG124">
        <v>11.6</v>
      </c>
      <c r="AH124">
        <v>0</v>
      </c>
      <c r="AI124">
        <v>1</v>
      </c>
      <c r="AJ124">
        <v>13.24</v>
      </c>
      <c r="AK124">
        <v>37.34</v>
      </c>
      <c r="AL124">
        <v>1</v>
      </c>
      <c r="AN124">
        <v>0</v>
      </c>
      <c r="AO124">
        <v>1</v>
      </c>
      <c r="AP124">
        <v>0</v>
      </c>
      <c r="AQ124">
        <v>0</v>
      </c>
      <c r="AR124">
        <v>0</v>
      </c>
      <c r="AT124">
        <v>0.29</v>
      </c>
      <c r="AV124">
        <v>0</v>
      </c>
      <c r="AW124">
        <v>1</v>
      </c>
      <c r="AX124">
        <v>-1</v>
      </c>
      <c r="AY124">
        <v>0</v>
      </c>
      <c r="AZ124">
        <v>0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CX124">
        <f>Y124*Source!I99</f>
        <v>0.5509999999999999</v>
      </c>
      <c r="CY124">
        <f>AB124</f>
        <v>1185.51</v>
      </c>
      <c r="CZ124">
        <f>AF124</f>
        <v>89.54</v>
      </c>
      <c r="DA124">
        <f>AJ124</f>
        <v>13.24</v>
      </c>
      <c r="DB124">
        <f>ROUND(ROUND(AT124*CZ124,2),2)</f>
        <v>25.97</v>
      </c>
      <c r="DC124">
        <f>ROUND(ROUND(AT124*AG124,2),2)</f>
        <v>3.36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R136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44" ht="12.75">
      <c r="A1">
        <f>ROW(Source!A28)</f>
        <v>28</v>
      </c>
      <c r="B1">
        <v>55668892</v>
      </c>
      <c r="C1">
        <v>55668882</v>
      </c>
      <c r="D1">
        <v>53630123</v>
      </c>
      <c r="E1">
        <v>70</v>
      </c>
      <c r="F1">
        <v>1</v>
      </c>
      <c r="G1">
        <v>1</v>
      </c>
      <c r="H1">
        <v>1</v>
      </c>
      <c r="I1" t="s">
        <v>277</v>
      </c>
      <c r="K1" t="s">
        <v>278</v>
      </c>
      <c r="L1">
        <v>1191</v>
      </c>
      <c r="N1">
        <v>1013</v>
      </c>
      <c r="O1" t="s">
        <v>279</v>
      </c>
      <c r="P1" t="s">
        <v>279</v>
      </c>
      <c r="Q1">
        <v>1</v>
      </c>
      <c r="X1">
        <v>298</v>
      </c>
      <c r="Y1">
        <v>0</v>
      </c>
      <c r="Z1">
        <v>0</v>
      </c>
      <c r="AA1">
        <v>0</v>
      </c>
      <c r="AB1">
        <v>10.06</v>
      </c>
      <c r="AC1">
        <v>0</v>
      </c>
      <c r="AD1">
        <v>1</v>
      </c>
      <c r="AE1">
        <v>1</v>
      </c>
      <c r="AF1" t="s">
        <v>30</v>
      </c>
      <c r="AG1">
        <v>208.6</v>
      </c>
      <c r="AH1">
        <v>2</v>
      </c>
      <c r="AI1">
        <v>55668883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ht="12.75">
      <c r="A2">
        <f>ROW(Source!A28)</f>
        <v>28</v>
      </c>
      <c r="B2">
        <v>55668893</v>
      </c>
      <c r="C2">
        <v>55668882</v>
      </c>
      <c r="D2">
        <v>53630257</v>
      </c>
      <c r="E2">
        <v>70</v>
      </c>
      <c r="F2">
        <v>1</v>
      </c>
      <c r="G2">
        <v>1</v>
      </c>
      <c r="H2">
        <v>1</v>
      </c>
      <c r="I2" t="s">
        <v>280</v>
      </c>
      <c r="K2" t="s">
        <v>281</v>
      </c>
      <c r="L2">
        <v>1191</v>
      </c>
      <c r="N2">
        <v>1013</v>
      </c>
      <c r="O2" t="s">
        <v>279</v>
      </c>
      <c r="P2" t="s">
        <v>279</v>
      </c>
      <c r="Q2">
        <v>1</v>
      </c>
      <c r="X2">
        <v>2.48</v>
      </c>
      <c r="Y2">
        <v>0</v>
      </c>
      <c r="Z2">
        <v>0</v>
      </c>
      <c r="AA2">
        <v>0</v>
      </c>
      <c r="AB2">
        <v>0</v>
      </c>
      <c r="AC2">
        <v>0</v>
      </c>
      <c r="AD2">
        <v>1</v>
      </c>
      <c r="AE2">
        <v>2</v>
      </c>
      <c r="AF2" t="s">
        <v>30</v>
      </c>
      <c r="AG2">
        <v>1.736</v>
      </c>
      <c r="AH2">
        <v>2</v>
      </c>
      <c r="AI2">
        <v>55668884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ht="12.75">
      <c r="A3">
        <f>ROW(Source!A28)</f>
        <v>28</v>
      </c>
      <c r="B3">
        <v>55668894</v>
      </c>
      <c r="C3">
        <v>55668882</v>
      </c>
      <c r="D3">
        <v>53791997</v>
      </c>
      <c r="E3">
        <v>1</v>
      </c>
      <c r="F3">
        <v>1</v>
      </c>
      <c r="G3">
        <v>1</v>
      </c>
      <c r="H3">
        <v>2</v>
      </c>
      <c r="I3" t="s">
        <v>282</v>
      </c>
      <c r="J3" t="s">
        <v>283</v>
      </c>
      <c r="K3" t="s">
        <v>284</v>
      </c>
      <c r="L3">
        <v>1367</v>
      </c>
      <c r="N3">
        <v>1011</v>
      </c>
      <c r="O3" t="s">
        <v>285</v>
      </c>
      <c r="P3" t="s">
        <v>285</v>
      </c>
      <c r="Q3">
        <v>1</v>
      </c>
      <c r="X3">
        <v>2.2</v>
      </c>
      <c r="Y3">
        <v>0</v>
      </c>
      <c r="Z3">
        <v>115.4</v>
      </c>
      <c r="AA3">
        <v>13.5</v>
      </c>
      <c r="AB3">
        <v>0</v>
      </c>
      <c r="AC3">
        <v>0</v>
      </c>
      <c r="AD3">
        <v>1</v>
      </c>
      <c r="AE3">
        <v>0</v>
      </c>
      <c r="AF3" t="s">
        <v>30</v>
      </c>
      <c r="AG3">
        <v>1.54</v>
      </c>
      <c r="AH3">
        <v>2</v>
      </c>
      <c r="AI3">
        <v>55668885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ht="12.75">
      <c r="A4">
        <f>ROW(Source!A28)</f>
        <v>28</v>
      </c>
      <c r="B4">
        <v>55668895</v>
      </c>
      <c r="C4">
        <v>55668882</v>
      </c>
      <c r="D4">
        <v>53792134</v>
      </c>
      <c r="E4">
        <v>1</v>
      </c>
      <c r="F4">
        <v>1</v>
      </c>
      <c r="G4">
        <v>1</v>
      </c>
      <c r="H4">
        <v>2</v>
      </c>
      <c r="I4" t="s">
        <v>286</v>
      </c>
      <c r="J4" t="s">
        <v>287</v>
      </c>
      <c r="K4" t="s">
        <v>288</v>
      </c>
      <c r="L4">
        <v>1367</v>
      </c>
      <c r="N4">
        <v>1011</v>
      </c>
      <c r="O4" t="s">
        <v>285</v>
      </c>
      <c r="P4" t="s">
        <v>285</v>
      </c>
      <c r="Q4">
        <v>1</v>
      </c>
      <c r="X4">
        <v>43.9</v>
      </c>
      <c r="Y4">
        <v>0</v>
      </c>
      <c r="Z4">
        <v>6.9</v>
      </c>
      <c r="AA4">
        <v>0</v>
      </c>
      <c r="AB4">
        <v>0</v>
      </c>
      <c r="AC4">
        <v>0</v>
      </c>
      <c r="AD4">
        <v>1</v>
      </c>
      <c r="AE4">
        <v>0</v>
      </c>
      <c r="AF4" t="s">
        <v>30</v>
      </c>
      <c r="AG4">
        <v>30.729999999999997</v>
      </c>
      <c r="AH4">
        <v>2</v>
      </c>
      <c r="AI4">
        <v>55668886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ht="12.75">
      <c r="A5">
        <f>ROW(Source!A28)</f>
        <v>28</v>
      </c>
      <c r="B5">
        <v>55668896</v>
      </c>
      <c r="C5">
        <v>55668882</v>
      </c>
      <c r="D5">
        <v>53792927</v>
      </c>
      <c r="E5">
        <v>1</v>
      </c>
      <c r="F5">
        <v>1</v>
      </c>
      <c r="G5">
        <v>1</v>
      </c>
      <c r="H5">
        <v>2</v>
      </c>
      <c r="I5" t="s">
        <v>289</v>
      </c>
      <c r="J5" t="s">
        <v>290</v>
      </c>
      <c r="K5" t="s">
        <v>291</v>
      </c>
      <c r="L5">
        <v>1367</v>
      </c>
      <c r="N5">
        <v>1011</v>
      </c>
      <c r="O5" t="s">
        <v>285</v>
      </c>
      <c r="P5" t="s">
        <v>285</v>
      </c>
      <c r="Q5">
        <v>1</v>
      </c>
      <c r="X5">
        <v>0.28</v>
      </c>
      <c r="Y5">
        <v>0</v>
      </c>
      <c r="Z5">
        <v>65.71</v>
      </c>
      <c r="AA5">
        <v>11.6</v>
      </c>
      <c r="AB5">
        <v>0</v>
      </c>
      <c r="AC5">
        <v>0</v>
      </c>
      <c r="AD5">
        <v>1</v>
      </c>
      <c r="AE5">
        <v>0</v>
      </c>
      <c r="AF5" t="s">
        <v>30</v>
      </c>
      <c r="AG5">
        <v>0.196</v>
      </c>
      <c r="AH5">
        <v>2</v>
      </c>
      <c r="AI5">
        <v>55668887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ht="12.75">
      <c r="A6">
        <f>ROW(Source!A28)</f>
        <v>28</v>
      </c>
      <c r="B6">
        <v>55668897</v>
      </c>
      <c r="C6">
        <v>55668882</v>
      </c>
      <c r="D6">
        <v>53645866</v>
      </c>
      <c r="E6">
        <v>1</v>
      </c>
      <c r="F6">
        <v>1</v>
      </c>
      <c r="G6">
        <v>1</v>
      </c>
      <c r="H6">
        <v>3</v>
      </c>
      <c r="I6" t="s">
        <v>360</v>
      </c>
      <c r="J6" t="s">
        <v>361</v>
      </c>
      <c r="K6" t="s">
        <v>362</v>
      </c>
      <c r="L6">
        <v>1346</v>
      </c>
      <c r="N6">
        <v>1009</v>
      </c>
      <c r="O6" t="s">
        <v>340</v>
      </c>
      <c r="P6" t="s">
        <v>340</v>
      </c>
      <c r="Q6">
        <v>1</v>
      </c>
      <c r="X6">
        <v>0</v>
      </c>
      <c r="Y6">
        <v>28.26</v>
      </c>
      <c r="Z6">
        <v>0</v>
      </c>
      <c r="AA6">
        <v>0</v>
      </c>
      <c r="AB6">
        <v>0</v>
      </c>
      <c r="AC6">
        <v>1</v>
      </c>
      <c r="AD6">
        <v>0</v>
      </c>
      <c r="AE6">
        <v>0</v>
      </c>
      <c r="AF6" t="s">
        <v>29</v>
      </c>
      <c r="AG6">
        <v>0</v>
      </c>
      <c r="AH6">
        <v>3</v>
      </c>
      <c r="AI6">
        <v>-1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ht="12.75">
      <c r="A7">
        <f>ROW(Source!A28)</f>
        <v>28</v>
      </c>
      <c r="B7">
        <v>55668898</v>
      </c>
      <c r="C7">
        <v>55668882</v>
      </c>
      <c r="D7">
        <v>53646035</v>
      </c>
      <c r="E7">
        <v>1</v>
      </c>
      <c r="F7">
        <v>1</v>
      </c>
      <c r="G7">
        <v>1</v>
      </c>
      <c r="H7">
        <v>3</v>
      </c>
      <c r="I7" t="s">
        <v>292</v>
      </c>
      <c r="J7" t="s">
        <v>293</v>
      </c>
      <c r="K7" t="s">
        <v>294</v>
      </c>
      <c r="L7">
        <v>1348</v>
      </c>
      <c r="N7">
        <v>1009</v>
      </c>
      <c r="O7" t="s">
        <v>41</v>
      </c>
      <c r="P7" t="s">
        <v>41</v>
      </c>
      <c r="Q7">
        <v>1000</v>
      </c>
      <c r="X7">
        <v>0.00115</v>
      </c>
      <c r="Y7">
        <v>37900</v>
      </c>
      <c r="Z7">
        <v>0</v>
      </c>
      <c r="AA7">
        <v>0</v>
      </c>
      <c r="AB7">
        <v>0</v>
      </c>
      <c r="AC7">
        <v>0</v>
      </c>
      <c r="AD7">
        <v>1</v>
      </c>
      <c r="AE7">
        <v>0</v>
      </c>
      <c r="AF7" t="s">
        <v>29</v>
      </c>
      <c r="AG7">
        <v>0</v>
      </c>
      <c r="AH7">
        <v>2</v>
      </c>
      <c r="AI7">
        <v>55668888</v>
      </c>
      <c r="AJ7">
        <v>6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ht="12.75">
      <c r="A8">
        <f>ROW(Source!A28)</f>
        <v>28</v>
      </c>
      <c r="B8">
        <v>55668899</v>
      </c>
      <c r="C8">
        <v>55668882</v>
      </c>
      <c r="D8">
        <v>53646160</v>
      </c>
      <c r="E8">
        <v>1</v>
      </c>
      <c r="F8">
        <v>1</v>
      </c>
      <c r="G8">
        <v>1</v>
      </c>
      <c r="H8">
        <v>3</v>
      </c>
      <c r="I8" t="s">
        <v>363</v>
      </c>
      <c r="J8" t="s">
        <v>364</v>
      </c>
      <c r="K8" t="s">
        <v>365</v>
      </c>
      <c r="L8">
        <v>1327</v>
      </c>
      <c r="N8">
        <v>1005</v>
      </c>
      <c r="O8" t="s">
        <v>81</v>
      </c>
      <c r="P8" t="s">
        <v>81</v>
      </c>
      <c r="Q8">
        <v>1</v>
      </c>
      <c r="X8">
        <v>0</v>
      </c>
      <c r="Y8">
        <v>52</v>
      </c>
      <c r="Z8">
        <v>0</v>
      </c>
      <c r="AA8">
        <v>0</v>
      </c>
      <c r="AB8">
        <v>0</v>
      </c>
      <c r="AC8">
        <v>1</v>
      </c>
      <c r="AD8">
        <v>0</v>
      </c>
      <c r="AE8">
        <v>0</v>
      </c>
      <c r="AF8" t="s">
        <v>29</v>
      </c>
      <c r="AG8">
        <v>0</v>
      </c>
      <c r="AH8">
        <v>3</v>
      </c>
      <c r="AI8">
        <v>-1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ht="12.75">
      <c r="A9">
        <f>ROW(Source!A28)</f>
        <v>28</v>
      </c>
      <c r="B9">
        <v>55668900</v>
      </c>
      <c r="C9">
        <v>55668882</v>
      </c>
      <c r="D9">
        <v>53646246</v>
      </c>
      <c r="E9">
        <v>1</v>
      </c>
      <c r="F9">
        <v>1</v>
      </c>
      <c r="G9">
        <v>1</v>
      </c>
      <c r="H9">
        <v>3</v>
      </c>
      <c r="I9" t="s">
        <v>366</v>
      </c>
      <c r="J9" t="s">
        <v>367</v>
      </c>
      <c r="K9" t="s">
        <v>368</v>
      </c>
      <c r="L9">
        <v>1327</v>
      </c>
      <c r="N9">
        <v>1005</v>
      </c>
      <c r="O9" t="s">
        <v>81</v>
      </c>
      <c r="P9" t="s">
        <v>81</v>
      </c>
      <c r="Q9">
        <v>1</v>
      </c>
      <c r="X9">
        <v>0</v>
      </c>
      <c r="Y9">
        <v>350</v>
      </c>
      <c r="Z9">
        <v>0</v>
      </c>
      <c r="AA9">
        <v>0</v>
      </c>
      <c r="AB9">
        <v>0</v>
      </c>
      <c r="AC9">
        <v>1</v>
      </c>
      <c r="AD9">
        <v>0</v>
      </c>
      <c r="AE9">
        <v>0</v>
      </c>
      <c r="AF9" t="s">
        <v>29</v>
      </c>
      <c r="AG9">
        <v>0</v>
      </c>
      <c r="AH9">
        <v>3</v>
      </c>
      <c r="AI9">
        <v>-1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ht="12.75">
      <c r="A10">
        <f>ROW(Source!A28)</f>
        <v>28</v>
      </c>
      <c r="B10">
        <v>55668901</v>
      </c>
      <c r="C10">
        <v>55668882</v>
      </c>
      <c r="D10">
        <v>53659617</v>
      </c>
      <c r="E10">
        <v>1</v>
      </c>
      <c r="F10">
        <v>1</v>
      </c>
      <c r="G10">
        <v>1</v>
      </c>
      <c r="H10">
        <v>3</v>
      </c>
      <c r="I10" t="s">
        <v>295</v>
      </c>
      <c r="J10" t="s">
        <v>296</v>
      </c>
      <c r="K10" t="s">
        <v>297</v>
      </c>
      <c r="L10">
        <v>1348</v>
      </c>
      <c r="N10">
        <v>1009</v>
      </c>
      <c r="O10" t="s">
        <v>41</v>
      </c>
      <c r="P10" t="s">
        <v>41</v>
      </c>
      <c r="Q10">
        <v>1000</v>
      </c>
      <c r="X10">
        <v>0.02</v>
      </c>
      <c r="Y10">
        <v>7712</v>
      </c>
      <c r="Z10">
        <v>0</v>
      </c>
      <c r="AA10">
        <v>0</v>
      </c>
      <c r="AB10">
        <v>0</v>
      </c>
      <c r="AC10">
        <v>0</v>
      </c>
      <c r="AD10">
        <v>1</v>
      </c>
      <c r="AE10">
        <v>0</v>
      </c>
      <c r="AF10" t="s">
        <v>29</v>
      </c>
      <c r="AG10">
        <v>0</v>
      </c>
      <c r="AH10">
        <v>2</v>
      </c>
      <c r="AI10">
        <v>55668889</v>
      </c>
      <c r="AJ10">
        <v>7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ht="12.75">
      <c r="A11">
        <f>ROW(Source!A28)</f>
        <v>28</v>
      </c>
      <c r="B11">
        <v>55668902</v>
      </c>
      <c r="C11">
        <v>55668882</v>
      </c>
      <c r="D11">
        <v>53661716</v>
      </c>
      <c r="E11">
        <v>1</v>
      </c>
      <c r="F11">
        <v>1</v>
      </c>
      <c r="G11">
        <v>1</v>
      </c>
      <c r="H11">
        <v>3</v>
      </c>
      <c r="I11" t="s">
        <v>298</v>
      </c>
      <c r="J11" t="s">
        <v>299</v>
      </c>
      <c r="K11" t="s">
        <v>300</v>
      </c>
      <c r="L11">
        <v>1302</v>
      </c>
      <c r="N11">
        <v>1003</v>
      </c>
      <c r="O11" t="s">
        <v>301</v>
      </c>
      <c r="P11" t="s">
        <v>301</v>
      </c>
      <c r="Q11">
        <v>10</v>
      </c>
      <c r="X11">
        <v>0.2</v>
      </c>
      <c r="Y11">
        <v>50.24</v>
      </c>
      <c r="Z11">
        <v>0</v>
      </c>
      <c r="AA11">
        <v>0</v>
      </c>
      <c r="AB11">
        <v>0</v>
      </c>
      <c r="AC11">
        <v>0</v>
      </c>
      <c r="AD11">
        <v>1</v>
      </c>
      <c r="AE11">
        <v>0</v>
      </c>
      <c r="AF11" t="s">
        <v>29</v>
      </c>
      <c r="AG11">
        <v>0</v>
      </c>
      <c r="AH11">
        <v>2</v>
      </c>
      <c r="AI11">
        <v>55668890</v>
      </c>
      <c r="AJ11">
        <v>8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ht="12.75">
      <c r="A12">
        <f>ROW(Source!A28)</f>
        <v>28</v>
      </c>
      <c r="B12">
        <v>55668903</v>
      </c>
      <c r="C12">
        <v>55668882</v>
      </c>
      <c r="D12">
        <v>53632492</v>
      </c>
      <c r="E12">
        <v>70</v>
      </c>
      <c r="F12">
        <v>1</v>
      </c>
      <c r="G12">
        <v>1</v>
      </c>
      <c r="H12">
        <v>3</v>
      </c>
      <c r="I12" t="s">
        <v>369</v>
      </c>
      <c r="K12" t="s">
        <v>370</v>
      </c>
      <c r="L12">
        <v>1348</v>
      </c>
      <c r="N12">
        <v>1009</v>
      </c>
      <c r="O12" t="s">
        <v>41</v>
      </c>
      <c r="P12" t="s">
        <v>41</v>
      </c>
      <c r="Q12">
        <v>1000</v>
      </c>
      <c r="X12">
        <v>0</v>
      </c>
      <c r="Y12">
        <v>0</v>
      </c>
      <c r="Z12">
        <v>0</v>
      </c>
      <c r="AA12">
        <v>0</v>
      </c>
      <c r="AB12">
        <v>0</v>
      </c>
      <c r="AC12">
        <v>1</v>
      </c>
      <c r="AD12">
        <v>0</v>
      </c>
      <c r="AE12">
        <v>0</v>
      </c>
      <c r="AF12" t="s">
        <v>29</v>
      </c>
      <c r="AG12">
        <v>0</v>
      </c>
      <c r="AH12">
        <v>3</v>
      </c>
      <c r="AI12">
        <v>-1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ht="12.75">
      <c r="A13">
        <f>ROW(Source!A28)</f>
        <v>28</v>
      </c>
      <c r="B13">
        <v>55668904</v>
      </c>
      <c r="C13">
        <v>55668882</v>
      </c>
      <c r="D13">
        <v>53666055</v>
      </c>
      <c r="E13">
        <v>1</v>
      </c>
      <c r="F13">
        <v>1</v>
      </c>
      <c r="G13">
        <v>1</v>
      </c>
      <c r="H13">
        <v>3</v>
      </c>
      <c r="I13" t="s">
        <v>302</v>
      </c>
      <c r="J13" t="s">
        <v>303</v>
      </c>
      <c r="K13" t="s">
        <v>304</v>
      </c>
      <c r="L13">
        <v>1339</v>
      </c>
      <c r="N13">
        <v>1007</v>
      </c>
      <c r="O13" t="s">
        <v>305</v>
      </c>
      <c r="P13" t="s">
        <v>305</v>
      </c>
      <c r="Q13">
        <v>1</v>
      </c>
      <c r="X13">
        <v>0.04</v>
      </c>
      <c r="Y13">
        <v>1700</v>
      </c>
      <c r="Z13">
        <v>0</v>
      </c>
      <c r="AA13">
        <v>0</v>
      </c>
      <c r="AB13">
        <v>0</v>
      </c>
      <c r="AC13">
        <v>0</v>
      </c>
      <c r="AD13">
        <v>1</v>
      </c>
      <c r="AE13">
        <v>0</v>
      </c>
      <c r="AF13" t="s">
        <v>29</v>
      </c>
      <c r="AG13">
        <v>0</v>
      </c>
      <c r="AH13">
        <v>2</v>
      </c>
      <c r="AI13">
        <v>55668891</v>
      </c>
      <c r="AJ13">
        <v>9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ht="12.75">
      <c r="A14">
        <f>ROW(Source!A29)</f>
        <v>29</v>
      </c>
      <c r="B14">
        <v>55668892</v>
      </c>
      <c r="C14">
        <v>55668882</v>
      </c>
      <c r="D14">
        <v>53630123</v>
      </c>
      <c r="E14">
        <v>70</v>
      </c>
      <c r="F14">
        <v>1</v>
      </c>
      <c r="G14">
        <v>1</v>
      </c>
      <c r="H14">
        <v>1</v>
      </c>
      <c r="I14" t="s">
        <v>277</v>
      </c>
      <c r="K14" t="s">
        <v>278</v>
      </c>
      <c r="L14">
        <v>1191</v>
      </c>
      <c r="N14">
        <v>1013</v>
      </c>
      <c r="O14" t="s">
        <v>279</v>
      </c>
      <c r="P14" t="s">
        <v>279</v>
      </c>
      <c r="Q14">
        <v>1</v>
      </c>
      <c r="X14">
        <v>298</v>
      </c>
      <c r="Y14">
        <v>0</v>
      </c>
      <c r="Z14">
        <v>0</v>
      </c>
      <c r="AA14">
        <v>0</v>
      </c>
      <c r="AB14">
        <v>10.06</v>
      </c>
      <c r="AC14">
        <v>0</v>
      </c>
      <c r="AD14">
        <v>1</v>
      </c>
      <c r="AE14">
        <v>1</v>
      </c>
      <c r="AF14" t="s">
        <v>30</v>
      </c>
      <c r="AG14">
        <v>208.6</v>
      </c>
      <c r="AH14">
        <v>2</v>
      </c>
      <c r="AI14">
        <v>55668883</v>
      </c>
      <c r="AJ14">
        <v>10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ht="12.75">
      <c r="A15">
        <f>ROW(Source!A29)</f>
        <v>29</v>
      </c>
      <c r="B15">
        <v>55668893</v>
      </c>
      <c r="C15">
        <v>55668882</v>
      </c>
      <c r="D15">
        <v>53630257</v>
      </c>
      <c r="E15">
        <v>70</v>
      </c>
      <c r="F15">
        <v>1</v>
      </c>
      <c r="G15">
        <v>1</v>
      </c>
      <c r="H15">
        <v>1</v>
      </c>
      <c r="I15" t="s">
        <v>280</v>
      </c>
      <c r="K15" t="s">
        <v>281</v>
      </c>
      <c r="L15">
        <v>1191</v>
      </c>
      <c r="N15">
        <v>1013</v>
      </c>
      <c r="O15" t="s">
        <v>279</v>
      </c>
      <c r="P15" t="s">
        <v>279</v>
      </c>
      <c r="Q15">
        <v>1</v>
      </c>
      <c r="X15">
        <v>2.48</v>
      </c>
      <c r="Y15">
        <v>0</v>
      </c>
      <c r="Z15">
        <v>0</v>
      </c>
      <c r="AA15">
        <v>0</v>
      </c>
      <c r="AB15">
        <v>0</v>
      </c>
      <c r="AC15">
        <v>0</v>
      </c>
      <c r="AD15">
        <v>1</v>
      </c>
      <c r="AE15">
        <v>2</v>
      </c>
      <c r="AF15" t="s">
        <v>30</v>
      </c>
      <c r="AG15">
        <v>1.736</v>
      </c>
      <c r="AH15">
        <v>2</v>
      </c>
      <c r="AI15">
        <v>55668884</v>
      </c>
      <c r="AJ15">
        <v>11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ht="12.75">
      <c r="A16">
        <f>ROW(Source!A29)</f>
        <v>29</v>
      </c>
      <c r="B16">
        <v>55668894</v>
      </c>
      <c r="C16">
        <v>55668882</v>
      </c>
      <c r="D16">
        <v>53791997</v>
      </c>
      <c r="E16">
        <v>1</v>
      </c>
      <c r="F16">
        <v>1</v>
      </c>
      <c r="G16">
        <v>1</v>
      </c>
      <c r="H16">
        <v>2</v>
      </c>
      <c r="I16" t="s">
        <v>282</v>
      </c>
      <c r="J16" t="s">
        <v>283</v>
      </c>
      <c r="K16" t="s">
        <v>284</v>
      </c>
      <c r="L16">
        <v>1367</v>
      </c>
      <c r="N16">
        <v>1011</v>
      </c>
      <c r="O16" t="s">
        <v>285</v>
      </c>
      <c r="P16" t="s">
        <v>285</v>
      </c>
      <c r="Q16">
        <v>1</v>
      </c>
      <c r="X16">
        <v>2.2</v>
      </c>
      <c r="Y16">
        <v>0</v>
      </c>
      <c r="Z16">
        <v>115.4</v>
      </c>
      <c r="AA16">
        <v>13.5</v>
      </c>
      <c r="AB16">
        <v>0</v>
      </c>
      <c r="AC16">
        <v>0</v>
      </c>
      <c r="AD16">
        <v>1</v>
      </c>
      <c r="AE16">
        <v>0</v>
      </c>
      <c r="AF16" t="s">
        <v>30</v>
      </c>
      <c r="AG16">
        <v>1.54</v>
      </c>
      <c r="AH16">
        <v>2</v>
      </c>
      <c r="AI16">
        <v>55668885</v>
      </c>
      <c r="AJ16">
        <v>12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ht="12.75">
      <c r="A17">
        <f>ROW(Source!A29)</f>
        <v>29</v>
      </c>
      <c r="B17">
        <v>55668895</v>
      </c>
      <c r="C17">
        <v>55668882</v>
      </c>
      <c r="D17">
        <v>53792134</v>
      </c>
      <c r="E17">
        <v>1</v>
      </c>
      <c r="F17">
        <v>1</v>
      </c>
      <c r="G17">
        <v>1</v>
      </c>
      <c r="H17">
        <v>2</v>
      </c>
      <c r="I17" t="s">
        <v>286</v>
      </c>
      <c r="J17" t="s">
        <v>287</v>
      </c>
      <c r="K17" t="s">
        <v>288</v>
      </c>
      <c r="L17">
        <v>1367</v>
      </c>
      <c r="N17">
        <v>1011</v>
      </c>
      <c r="O17" t="s">
        <v>285</v>
      </c>
      <c r="P17" t="s">
        <v>285</v>
      </c>
      <c r="Q17">
        <v>1</v>
      </c>
      <c r="X17">
        <v>43.9</v>
      </c>
      <c r="Y17">
        <v>0</v>
      </c>
      <c r="Z17">
        <v>6.9</v>
      </c>
      <c r="AA17">
        <v>0</v>
      </c>
      <c r="AB17">
        <v>0</v>
      </c>
      <c r="AC17">
        <v>0</v>
      </c>
      <c r="AD17">
        <v>1</v>
      </c>
      <c r="AE17">
        <v>0</v>
      </c>
      <c r="AF17" t="s">
        <v>30</v>
      </c>
      <c r="AG17">
        <v>30.729999999999997</v>
      </c>
      <c r="AH17">
        <v>2</v>
      </c>
      <c r="AI17">
        <v>55668886</v>
      </c>
      <c r="AJ17">
        <v>13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ht="12.75">
      <c r="A18">
        <f>ROW(Source!A29)</f>
        <v>29</v>
      </c>
      <c r="B18">
        <v>55668896</v>
      </c>
      <c r="C18">
        <v>55668882</v>
      </c>
      <c r="D18">
        <v>53792927</v>
      </c>
      <c r="E18">
        <v>1</v>
      </c>
      <c r="F18">
        <v>1</v>
      </c>
      <c r="G18">
        <v>1</v>
      </c>
      <c r="H18">
        <v>2</v>
      </c>
      <c r="I18" t="s">
        <v>289</v>
      </c>
      <c r="J18" t="s">
        <v>290</v>
      </c>
      <c r="K18" t="s">
        <v>291</v>
      </c>
      <c r="L18">
        <v>1367</v>
      </c>
      <c r="N18">
        <v>1011</v>
      </c>
      <c r="O18" t="s">
        <v>285</v>
      </c>
      <c r="P18" t="s">
        <v>285</v>
      </c>
      <c r="Q18">
        <v>1</v>
      </c>
      <c r="X18">
        <v>0.28</v>
      </c>
      <c r="Y18">
        <v>0</v>
      </c>
      <c r="Z18">
        <v>65.71</v>
      </c>
      <c r="AA18">
        <v>11.6</v>
      </c>
      <c r="AB18">
        <v>0</v>
      </c>
      <c r="AC18">
        <v>0</v>
      </c>
      <c r="AD18">
        <v>1</v>
      </c>
      <c r="AE18">
        <v>0</v>
      </c>
      <c r="AF18" t="s">
        <v>30</v>
      </c>
      <c r="AG18">
        <v>0.196</v>
      </c>
      <c r="AH18">
        <v>2</v>
      </c>
      <c r="AI18">
        <v>55668887</v>
      </c>
      <c r="AJ18">
        <v>14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ht="12.75">
      <c r="A19">
        <f>ROW(Source!A29)</f>
        <v>29</v>
      </c>
      <c r="B19">
        <v>55668897</v>
      </c>
      <c r="C19">
        <v>55668882</v>
      </c>
      <c r="D19">
        <v>53645866</v>
      </c>
      <c r="E19">
        <v>1</v>
      </c>
      <c r="F19">
        <v>1</v>
      </c>
      <c r="G19">
        <v>1</v>
      </c>
      <c r="H19">
        <v>3</v>
      </c>
      <c r="I19" t="s">
        <v>360</v>
      </c>
      <c r="J19" t="s">
        <v>361</v>
      </c>
      <c r="K19" t="s">
        <v>362</v>
      </c>
      <c r="L19">
        <v>1346</v>
      </c>
      <c r="N19">
        <v>1009</v>
      </c>
      <c r="O19" t="s">
        <v>340</v>
      </c>
      <c r="P19" t="s">
        <v>340</v>
      </c>
      <c r="Q19">
        <v>1</v>
      </c>
      <c r="X19">
        <v>0</v>
      </c>
      <c r="Y19">
        <v>28.26</v>
      </c>
      <c r="Z19">
        <v>0</v>
      </c>
      <c r="AA19">
        <v>0</v>
      </c>
      <c r="AB19">
        <v>0</v>
      </c>
      <c r="AC19">
        <v>1</v>
      </c>
      <c r="AD19">
        <v>0</v>
      </c>
      <c r="AE19">
        <v>0</v>
      </c>
      <c r="AF19" t="s">
        <v>29</v>
      </c>
      <c r="AG19">
        <v>0</v>
      </c>
      <c r="AH19">
        <v>3</v>
      </c>
      <c r="AI19">
        <v>-1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ht="12.75">
      <c r="A20">
        <f>ROW(Source!A29)</f>
        <v>29</v>
      </c>
      <c r="B20">
        <v>55668898</v>
      </c>
      <c r="C20">
        <v>55668882</v>
      </c>
      <c r="D20">
        <v>53646035</v>
      </c>
      <c r="E20">
        <v>1</v>
      </c>
      <c r="F20">
        <v>1</v>
      </c>
      <c r="G20">
        <v>1</v>
      </c>
      <c r="H20">
        <v>3</v>
      </c>
      <c r="I20" t="s">
        <v>292</v>
      </c>
      <c r="J20" t="s">
        <v>293</v>
      </c>
      <c r="K20" t="s">
        <v>294</v>
      </c>
      <c r="L20">
        <v>1348</v>
      </c>
      <c r="N20">
        <v>1009</v>
      </c>
      <c r="O20" t="s">
        <v>41</v>
      </c>
      <c r="P20" t="s">
        <v>41</v>
      </c>
      <c r="Q20">
        <v>1000</v>
      </c>
      <c r="X20">
        <v>0.00115</v>
      </c>
      <c r="Y20">
        <v>37900</v>
      </c>
      <c r="Z20">
        <v>0</v>
      </c>
      <c r="AA20">
        <v>0</v>
      </c>
      <c r="AB20">
        <v>0</v>
      </c>
      <c r="AC20">
        <v>0</v>
      </c>
      <c r="AD20">
        <v>1</v>
      </c>
      <c r="AE20">
        <v>0</v>
      </c>
      <c r="AF20" t="s">
        <v>29</v>
      </c>
      <c r="AG20">
        <v>0</v>
      </c>
      <c r="AH20">
        <v>2</v>
      </c>
      <c r="AI20">
        <v>55668888</v>
      </c>
      <c r="AJ20">
        <v>15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ht="12.75">
      <c r="A21">
        <f>ROW(Source!A29)</f>
        <v>29</v>
      </c>
      <c r="B21">
        <v>55668899</v>
      </c>
      <c r="C21">
        <v>55668882</v>
      </c>
      <c r="D21">
        <v>53646160</v>
      </c>
      <c r="E21">
        <v>1</v>
      </c>
      <c r="F21">
        <v>1</v>
      </c>
      <c r="G21">
        <v>1</v>
      </c>
      <c r="H21">
        <v>3</v>
      </c>
      <c r="I21" t="s">
        <v>363</v>
      </c>
      <c r="J21" t="s">
        <v>364</v>
      </c>
      <c r="K21" t="s">
        <v>365</v>
      </c>
      <c r="L21">
        <v>1327</v>
      </c>
      <c r="N21">
        <v>1005</v>
      </c>
      <c r="O21" t="s">
        <v>81</v>
      </c>
      <c r="P21" t="s">
        <v>81</v>
      </c>
      <c r="Q21">
        <v>1</v>
      </c>
      <c r="X21">
        <v>0</v>
      </c>
      <c r="Y21">
        <v>52</v>
      </c>
      <c r="Z21">
        <v>0</v>
      </c>
      <c r="AA21">
        <v>0</v>
      </c>
      <c r="AB21">
        <v>0</v>
      </c>
      <c r="AC21">
        <v>1</v>
      </c>
      <c r="AD21">
        <v>0</v>
      </c>
      <c r="AE21">
        <v>0</v>
      </c>
      <c r="AF21" t="s">
        <v>29</v>
      </c>
      <c r="AG21">
        <v>0</v>
      </c>
      <c r="AH21">
        <v>3</v>
      </c>
      <c r="AI21">
        <v>-1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ht="12.75">
      <c r="A22">
        <f>ROW(Source!A29)</f>
        <v>29</v>
      </c>
      <c r="B22">
        <v>55668900</v>
      </c>
      <c r="C22">
        <v>55668882</v>
      </c>
      <c r="D22">
        <v>53646246</v>
      </c>
      <c r="E22">
        <v>1</v>
      </c>
      <c r="F22">
        <v>1</v>
      </c>
      <c r="G22">
        <v>1</v>
      </c>
      <c r="H22">
        <v>3</v>
      </c>
      <c r="I22" t="s">
        <v>366</v>
      </c>
      <c r="J22" t="s">
        <v>367</v>
      </c>
      <c r="K22" t="s">
        <v>368</v>
      </c>
      <c r="L22">
        <v>1327</v>
      </c>
      <c r="N22">
        <v>1005</v>
      </c>
      <c r="O22" t="s">
        <v>81</v>
      </c>
      <c r="P22" t="s">
        <v>81</v>
      </c>
      <c r="Q22">
        <v>1</v>
      </c>
      <c r="X22">
        <v>0</v>
      </c>
      <c r="Y22">
        <v>350</v>
      </c>
      <c r="Z22">
        <v>0</v>
      </c>
      <c r="AA22">
        <v>0</v>
      </c>
      <c r="AB22">
        <v>0</v>
      </c>
      <c r="AC22">
        <v>1</v>
      </c>
      <c r="AD22">
        <v>0</v>
      </c>
      <c r="AE22">
        <v>0</v>
      </c>
      <c r="AF22" t="s">
        <v>29</v>
      </c>
      <c r="AG22">
        <v>0</v>
      </c>
      <c r="AH22">
        <v>3</v>
      </c>
      <c r="AI22">
        <v>-1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ht="12.75">
      <c r="A23">
        <f>ROW(Source!A29)</f>
        <v>29</v>
      </c>
      <c r="B23">
        <v>55668901</v>
      </c>
      <c r="C23">
        <v>55668882</v>
      </c>
      <c r="D23">
        <v>53659617</v>
      </c>
      <c r="E23">
        <v>1</v>
      </c>
      <c r="F23">
        <v>1</v>
      </c>
      <c r="G23">
        <v>1</v>
      </c>
      <c r="H23">
        <v>3</v>
      </c>
      <c r="I23" t="s">
        <v>295</v>
      </c>
      <c r="J23" t="s">
        <v>296</v>
      </c>
      <c r="K23" t="s">
        <v>297</v>
      </c>
      <c r="L23">
        <v>1348</v>
      </c>
      <c r="N23">
        <v>1009</v>
      </c>
      <c r="O23" t="s">
        <v>41</v>
      </c>
      <c r="P23" t="s">
        <v>41</v>
      </c>
      <c r="Q23">
        <v>1000</v>
      </c>
      <c r="X23">
        <v>0.02</v>
      </c>
      <c r="Y23">
        <v>7712</v>
      </c>
      <c r="Z23">
        <v>0</v>
      </c>
      <c r="AA23">
        <v>0</v>
      </c>
      <c r="AB23">
        <v>0</v>
      </c>
      <c r="AC23">
        <v>0</v>
      </c>
      <c r="AD23">
        <v>1</v>
      </c>
      <c r="AE23">
        <v>0</v>
      </c>
      <c r="AF23" t="s">
        <v>29</v>
      </c>
      <c r="AG23">
        <v>0</v>
      </c>
      <c r="AH23">
        <v>2</v>
      </c>
      <c r="AI23">
        <v>55668889</v>
      </c>
      <c r="AJ23">
        <v>16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ht="12.75">
      <c r="A24">
        <f>ROW(Source!A29)</f>
        <v>29</v>
      </c>
      <c r="B24">
        <v>55668902</v>
      </c>
      <c r="C24">
        <v>55668882</v>
      </c>
      <c r="D24">
        <v>53661716</v>
      </c>
      <c r="E24">
        <v>1</v>
      </c>
      <c r="F24">
        <v>1</v>
      </c>
      <c r="G24">
        <v>1</v>
      </c>
      <c r="H24">
        <v>3</v>
      </c>
      <c r="I24" t="s">
        <v>298</v>
      </c>
      <c r="J24" t="s">
        <v>299</v>
      </c>
      <c r="K24" t="s">
        <v>300</v>
      </c>
      <c r="L24">
        <v>1302</v>
      </c>
      <c r="N24">
        <v>1003</v>
      </c>
      <c r="O24" t="s">
        <v>301</v>
      </c>
      <c r="P24" t="s">
        <v>301</v>
      </c>
      <c r="Q24">
        <v>10</v>
      </c>
      <c r="X24">
        <v>0.2</v>
      </c>
      <c r="Y24">
        <v>50.24</v>
      </c>
      <c r="Z24">
        <v>0</v>
      </c>
      <c r="AA24">
        <v>0</v>
      </c>
      <c r="AB24">
        <v>0</v>
      </c>
      <c r="AC24">
        <v>0</v>
      </c>
      <c r="AD24">
        <v>1</v>
      </c>
      <c r="AE24">
        <v>0</v>
      </c>
      <c r="AF24" t="s">
        <v>29</v>
      </c>
      <c r="AG24">
        <v>0</v>
      </c>
      <c r="AH24">
        <v>2</v>
      </c>
      <c r="AI24">
        <v>55668890</v>
      </c>
      <c r="AJ24">
        <v>17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ht="12.75">
      <c r="A25">
        <f>ROW(Source!A29)</f>
        <v>29</v>
      </c>
      <c r="B25">
        <v>55668903</v>
      </c>
      <c r="C25">
        <v>55668882</v>
      </c>
      <c r="D25">
        <v>53632492</v>
      </c>
      <c r="E25">
        <v>70</v>
      </c>
      <c r="F25">
        <v>1</v>
      </c>
      <c r="G25">
        <v>1</v>
      </c>
      <c r="H25">
        <v>3</v>
      </c>
      <c r="I25" t="s">
        <v>369</v>
      </c>
      <c r="K25" t="s">
        <v>370</v>
      </c>
      <c r="L25">
        <v>1348</v>
      </c>
      <c r="N25">
        <v>1009</v>
      </c>
      <c r="O25" t="s">
        <v>41</v>
      </c>
      <c r="P25" t="s">
        <v>41</v>
      </c>
      <c r="Q25">
        <v>1000</v>
      </c>
      <c r="X25">
        <v>0</v>
      </c>
      <c r="Y25">
        <v>0</v>
      </c>
      <c r="Z25">
        <v>0</v>
      </c>
      <c r="AA25">
        <v>0</v>
      </c>
      <c r="AB25">
        <v>0</v>
      </c>
      <c r="AC25">
        <v>1</v>
      </c>
      <c r="AD25">
        <v>0</v>
      </c>
      <c r="AE25">
        <v>0</v>
      </c>
      <c r="AF25" t="s">
        <v>29</v>
      </c>
      <c r="AG25">
        <v>0</v>
      </c>
      <c r="AH25">
        <v>3</v>
      </c>
      <c r="AI25">
        <v>-1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ht="12.75">
      <c r="A26">
        <f>ROW(Source!A29)</f>
        <v>29</v>
      </c>
      <c r="B26">
        <v>55668904</v>
      </c>
      <c r="C26">
        <v>55668882</v>
      </c>
      <c r="D26">
        <v>53666055</v>
      </c>
      <c r="E26">
        <v>1</v>
      </c>
      <c r="F26">
        <v>1</v>
      </c>
      <c r="G26">
        <v>1</v>
      </c>
      <c r="H26">
        <v>3</v>
      </c>
      <c r="I26" t="s">
        <v>302</v>
      </c>
      <c r="J26" t="s">
        <v>303</v>
      </c>
      <c r="K26" t="s">
        <v>304</v>
      </c>
      <c r="L26">
        <v>1339</v>
      </c>
      <c r="N26">
        <v>1007</v>
      </c>
      <c r="O26" t="s">
        <v>305</v>
      </c>
      <c r="P26" t="s">
        <v>305</v>
      </c>
      <c r="Q26">
        <v>1</v>
      </c>
      <c r="X26">
        <v>0.04</v>
      </c>
      <c r="Y26">
        <v>1700</v>
      </c>
      <c r="Z26">
        <v>0</v>
      </c>
      <c r="AA26">
        <v>0</v>
      </c>
      <c r="AB26">
        <v>0</v>
      </c>
      <c r="AC26">
        <v>0</v>
      </c>
      <c r="AD26">
        <v>1</v>
      </c>
      <c r="AE26">
        <v>0</v>
      </c>
      <c r="AF26" t="s">
        <v>29</v>
      </c>
      <c r="AG26">
        <v>0</v>
      </c>
      <c r="AH26">
        <v>2</v>
      </c>
      <c r="AI26">
        <v>55668891</v>
      </c>
      <c r="AJ26">
        <v>18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ht="12.75">
      <c r="A27">
        <f>ROW(Source!A30)</f>
        <v>30</v>
      </c>
      <c r="B27">
        <v>55668969</v>
      </c>
      <c r="C27">
        <v>55668962</v>
      </c>
      <c r="D27">
        <v>53630073</v>
      </c>
      <c r="E27">
        <v>70</v>
      </c>
      <c r="F27">
        <v>1</v>
      </c>
      <c r="G27">
        <v>1</v>
      </c>
      <c r="H27">
        <v>1</v>
      </c>
      <c r="I27" t="s">
        <v>306</v>
      </c>
      <c r="K27" t="s">
        <v>307</v>
      </c>
      <c r="L27">
        <v>1191</v>
      </c>
      <c r="N27">
        <v>1013</v>
      </c>
      <c r="O27" t="s">
        <v>279</v>
      </c>
      <c r="P27" t="s">
        <v>279</v>
      </c>
      <c r="Q27">
        <v>1</v>
      </c>
      <c r="X27">
        <v>289</v>
      </c>
      <c r="Y27">
        <v>0</v>
      </c>
      <c r="Z27">
        <v>0</v>
      </c>
      <c r="AA27">
        <v>0</v>
      </c>
      <c r="AB27">
        <v>8.86</v>
      </c>
      <c r="AC27">
        <v>0</v>
      </c>
      <c r="AD27">
        <v>1</v>
      </c>
      <c r="AE27">
        <v>1</v>
      </c>
      <c r="AF27" t="s">
        <v>30</v>
      </c>
      <c r="AG27">
        <v>202.29999999999998</v>
      </c>
      <c r="AH27">
        <v>2</v>
      </c>
      <c r="AI27">
        <v>55668963</v>
      </c>
      <c r="AJ27">
        <v>19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ht="12.75">
      <c r="A28">
        <f>ROW(Source!A30)</f>
        <v>30</v>
      </c>
      <c r="B28">
        <v>55668970</v>
      </c>
      <c r="C28">
        <v>55668962</v>
      </c>
      <c r="D28">
        <v>53630257</v>
      </c>
      <c r="E28">
        <v>70</v>
      </c>
      <c r="F28">
        <v>1</v>
      </c>
      <c r="G28">
        <v>1</v>
      </c>
      <c r="H28">
        <v>1</v>
      </c>
      <c r="I28" t="s">
        <v>280</v>
      </c>
      <c r="K28" t="s">
        <v>281</v>
      </c>
      <c r="L28">
        <v>1191</v>
      </c>
      <c r="N28">
        <v>1013</v>
      </c>
      <c r="O28" t="s">
        <v>279</v>
      </c>
      <c r="P28" t="s">
        <v>279</v>
      </c>
      <c r="Q28">
        <v>1</v>
      </c>
      <c r="X28">
        <v>0.59</v>
      </c>
      <c r="Y28">
        <v>0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2</v>
      </c>
      <c r="AF28" t="s">
        <v>30</v>
      </c>
      <c r="AG28">
        <v>0.413</v>
      </c>
      <c r="AH28">
        <v>2</v>
      </c>
      <c r="AI28">
        <v>55668964</v>
      </c>
      <c r="AJ28">
        <v>20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ht="12.75">
      <c r="A29">
        <f>ROW(Source!A30)</f>
        <v>30</v>
      </c>
      <c r="B29">
        <v>55668971</v>
      </c>
      <c r="C29">
        <v>55668962</v>
      </c>
      <c r="D29">
        <v>53791997</v>
      </c>
      <c r="E29">
        <v>1</v>
      </c>
      <c r="F29">
        <v>1</v>
      </c>
      <c r="G29">
        <v>1</v>
      </c>
      <c r="H29">
        <v>2</v>
      </c>
      <c r="I29" t="s">
        <v>282</v>
      </c>
      <c r="J29" t="s">
        <v>283</v>
      </c>
      <c r="K29" t="s">
        <v>284</v>
      </c>
      <c r="L29">
        <v>1367</v>
      </c>
      <c r="N29">
        <v>1011</v>
      </c>
      <c r="O29" t="s">
        <v>285</v>
      </c>
      <c r="P29" t="s">
        <v>285</v>
      </c>
      <c r="Q29">
        <v>1</v>
      </c>
      <c r="X29">
        <v>0.25</v>
      </c>
      <c r="Y29">
        <v>0</v>
      </c>
      <c r="Z29">
        <v>115.4</v>
      </c>
      <c r="AA29">
        <v>13.5</v>
      </c>
      <c r="AB29">
        <v>0</v>
      </c>
      <c r="AC29">
        <v>0</v>
      </c>
      <c r="AD29">
        <v>1</v>
      </c>
      <c r="AE29">
        <v>0</v>
      </c>
      <c r="AF29" t="s">
        <v>30</v>
      </c>
      <c r="AG29">
        <v>0.175</v>
      </c>
      <c r="AH29">
        <v>2</v>
      </c>
      <c r="AI29">
        <v>55668965</v>
      </c>
      <c r="AJ29">
        <v>21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ht="12.75">
      <c r="A30">
        <f>ROW(Source!A30)</f>
        <v>30</v>
      </c>
      <c r="B30">
        <v>55668972</v>
      </c>
      <c r="C30">
        <v>55668962</v>
      </c>
      <c r="D30">
        <v>53792927</v>
      </c>
      <c r="E30">
        <v>1</v>
      </c>
      <c r="F30">
        <v>1</v>
      </c>
      <c r="G30">
        <v>1</v>
      </c>
      <c r="H30">
        <v>2</v>
      </c>
      <c r="I30" t="s">
        <v>289</v>
      </c>
      <c r="J30" t="s">
        <v>290</v>
      </c>
      <c r="K30" t="s">
        <v>291</v>
      </c>
      <c r="L30">
        <v>1367</v>
      </c>
      <c r="N30">
        <v>1011</v>
      </c>
      <c r="O30" t="s">
        <v>285</v>
      </c>
      <c r="P30" t="s">
        <v>285</v>
      </c>
      <c r="Q30">
        <v>1</v>
      </c>
      <c r="X30">
        <v>0.34</v>
      </c>
      <c r="Y30">
        <v>0</v>
      </c>
      <c r="Z30">
        <v>65.71</v>
      </c>
      <c r="AA30">
        <v>11.6</v>
      </c>
      <c r="AB30">
        <v>0</v>
      </c>
      <c r="AC30">
        <v>0</v>
      </c>
      <c r="AD30">
        <v>1</v>
      </c>
      <c r="AE30">
        <v>0</v>
      </c>
      <c r="AF30" t="s">
        <v>30</v>
      </c>
      <c r="AG30">
        <v>0.238</v>
      </c>
      <c r="AH30">
        <v>2</v>
      </c>
      <c r="AI30">
        <v>55668966</v>
      </c>
      <c r="AJ30">
        <v>22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ht="12.75">
      <c r="A31">
        <f>ROW(Source!A30)</f>
        <v>30</v>
      </c>
      <c r="B31">
        <v>55668973</v>
      </c>
      <c r="C31">
        <v>55668962</v>
      </c>
      <c r="D31">
        <v>53659482</v>
      </c>
      <c r="E31">
        <v>1</v>
      </c>
      <c r="F31">
        <v>1</v>
      </c>
      <c r="G31">
        <v>1</v>
      </c>
      <c r="H31">
        <v>3</v>
      </c>
      <c r="I31" t="s">
        <v>48</v>
      </c>
      <c r="J31" t="s">
        <v>51</v>
      </c>
      <c r="K31" t="s">
        <v>49</v>
      </c>
      <c r="L31">
        <v>1371</v>
      </c>
      <c r="N31">
        <v>1013</v>
      </c>
      <c r="O31" t="s">
        <v>50</v>
      </c>
      <c r="P31" t="s">
        <v>50</v>
      </c>
      <c r="Q31">
        <v>1</v>
      </c>
      <c r="X31">
        <v>0.01</v>
      </c>
      <c r="Y31">
        <v>346</v>
      </c>
      <c r="Z31">
        <v>0</v>
      </c>
      <c r="AA31">
        <v>0</v>
      </c>
      <c r="AB31">
        <v>0</v>
      </c>
      <c r="AC31">
        <v>0</v>
      </c>
      <c r="AD31">
        <v>1</v>
      </c>
      <c r="AE31">
        <v>0</v>
      </c>
      <c r="AF31" t="s">
        <v>29</v>
      </c>
      <c r="AG31">
        <v>0</v>
      </c>
      <c r="AH31">
        <v>2</v>
      </c>
      <c r="AI31">
        <v>55668967</v>
      </c>
      <c r="AJ31">
        <v>23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ht="12.75">
      <c r="A32">
        <f>ROW(Source!A30)</f>
        <v>30</v>
      </c>
      <c r="B32">
        <v>55668974</v>
      </c>
      <c r="C32">
        <v>55668962</v>
      </c>
      <c r="D32">
        <v>53662892</v>
      </c>
      <c r="E32">
        <v>1</v>
      </c>
      <c r="F32">
        <v>1</v>
      </c>
      <c r="G32">
        <v>1</v>
      </c>
      <c r="H32">
        <v>3</v>
      </c>
      <c r="I32" t="s">
        <v>53</v>
      </c>
      <c r="J32" t="s">
        <v>55</v>
      </c>
      <c r="K32" t="s">
        <v>54</v>
      </c>
      <c r="L32">
        <v>1348</v>
      </c>
      <c r="N32">
        <v>1009</v>
      </c>
      <c r="O32" t="s">
        <v>41</v>
      </c>
      <c r="P32" t="s">
        <v>41</v>
      </c>
      <c r="Q32">
        <v>1000</v>
      </c>
      <c r="X32">
        <v>1</v>
      </c>
      <c r="Y32">
        <v>10100</v>
      </c>
      <c r="Z32">
        <v>0</v>
      </c>
      <c r="AA32">
        <v>0</v>
      </c>
      <c r="AB32">
        <v>0</v>
      </c>
      <c r="AC32">
        <v>0</v>
      </c>
      <c r="AD32">
        <v>1</v>
      </c>
      <c r="AE32">
        <v>0</v>
      </c>
      <c r="AF32" t="s">
        <v>29</v>
      </c>
      <c r="AG32">
        <v>0</v>
      </c>
      <c r="AH32">
        <v>2</v>
      </c>
      <c r="AI32">
        <v>55668968</v>
      </c>
      <c r="AJ32">
        <v>24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ht="12.75">
      <c r="A33">
        <f>ROW(Source!A31)</f>
        <v>31</v>
      </c>
      <c r="B33">
        <v>55668969</v>
      </c>
      <c r="C33">
        <v>55668962</v>
      </c>
      <c r="D33">
        <v>53630073</v>
      </c>
      <c r="E33">
        <v>70</v>
      </c>
      <c r="F33">
        <v>1</v>
      </c>
      <c r="G33">
        <v>1</v>
      </c>
      <c r="H33">
        <v>1</v>
      </c>
      <c r="I33" t="s">
        <v>306</v>
      </c>
      <c r="K33" t="s">
        <v>307</v>
      </c>
      <c r="L33">
        <v>1191</v>
      </c>
      <c r="N33">
        <v>1013</v>
      </c>
      <c r="O33" t="s">
        <v>279</v>
      </c>
      <c r="P33" t="s">
        <v>279</v>
      </c>
      <c r="Q33">
        <v>1</v>
      </c>
      <c r="X33">
        <v>289</v>
      </c>
      <c r="Y33">
        <v>0</v>
      </c>
      <c r="Z33">
        <v>0</v>
      </c>
      <c r="AA33">
        <v>0</v>
      </c>
      <c r="AB33">
        <v>8.86</v>
      </c>
      <c r="AC33">
        <v>0</v>
      </c>
      <c r="AD33">
        <v>1</v>
      </c>
      <c r="AE33">
        <v>1</v>
      </c>
      <c r="AF33" t="s">
        <v>30</v>
      </c>
      <c r="AG33">
        <v>202.29999999999998</v>
      </c>
      <c r="AH33">
        <v>2</v>
      </c>
      <c r="AI33">
        <v>55668963</v>
      </c>
      <c r="AJ33">
        <v>25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ht="12.75">
      <c r="A34">
        <f>ROW(Source!A31)</f>
        <v>31</v>
      </c>
      <c r="B34">
        <v>55668970</v>
      </c>
      <c r="C34">
        <v>55668962</v>
      </c>
      <c r="D34">
        <v>53630257</v>
      </c>
      <c r="E34">
        <v>70</v>
      </c>
      <c r="F34">
        <v>1</v>
      </c>
      <c r="G34">
        <v>1</v>
      </c>
      <c r="H34">
        <v>1</v>
      </c>
      <c r="I34" t="s">
        <v>280</v>
      </c>
      <c r="K34" t="s">
        <v>281</v>
      </c>
      <c r="L34">
        <v>1191</v>
      </c>
      <c r="N34">
        <v>1013</v>
      </c>
      <c r="O34" t="s">
        <v>279</v>
      </c>
      <c r="P34" t="s">
        <v>279</v>
      </c>
      <c r="Q34">
        <v>1</v>
      </c>
      <c r="X34">
        <v>0.59</v>
      </c>
      <c r="Y34">
        <v>0</v>
      </c>
      <c r="Z34">
        <v>0</v>
      </c>
      <c r="AA34">
        <v>0</v>
      </c>
      <c r="AB34">
        <v>0</v>
      </c>
      <c r="AC34">
        <v>0</v>
      </c>
      <c r="AD34">
        <v>1</v>
      </c>
      <c r="AE34">
        <v>2</v>
      </c>
      <c r="AF34" t="s">
        <v>30</v>
      </c>
      <c r="AG34">
        <v>0.413</v>
      </c>
      <c r="AH34">
        <v>2</v>
      </c>
      <c r="AI34">
        <v>55668964</v>
      </c>
      <c r="AJ34">
        <v>26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ht="12.75">
      <c r="A35">
        <f>ROW(Source!A31)</f>
        <v>31</v>
      </c>
      <c r="B35">
        <v>55668971</v>
      </c>
      <c r="C35">
        <v>55668962</v>
      </c>
      <c r="D35">
        <v>53791997</v>
      </c>
      <c r="E35">
        <v>1</v>
      </c>
      <c r="F35">
        <v>1</v>
      </c>
      <c r="G35">
        <v>1</v>
      </c>
      <c r="H35">
        <v>2</v>
      </c>
      <c r="I35" t="s">
        <v>282</v>
      </c>
      <c r="J35" t="s">
        <v>283</v>
      </c>
      <c r="K35" t="s">
        <v>284</v>
      </c>
      <c r="L35">
        <v>1367</v>
      </c>
      <c r="N35">
        <v>1011</v>
      </c>
      <c r="O35" t="s">
        <v>285</v>
      </c>
      <c r="P35" t="s">
        <v>285</v>
      </c>
      <c r="Q35">
        <v>1</v>
      </c>
      <c r="X35">
        <v>0.25</v>
      </c>
      <c r="Y35">
        <v>0</v>
      </c>
      <c r="Z35">
        <v>115.4</v>
      </c>
      <c r="AA35">
        <v>13.5</v>
      </c>
      <c r="AB35">
        <v>0</v>
      </c>
      <c r="AC35">
        <v>0</v>
      </c>
      <c r="AD35">
        <v>1</v>
      </c>
      <c r="AE35">
        <v>0</v>
      </c>
      <c r="AF35" t="s">
        <v>30</v>
      </c>
      <c r="AG35">
        <v>0.175</v>
      </c>
      <c r="AH35">
        <v>2</v>
      </c>
      <c r="AI35">
        <v>55668965</v>
      </c>
      <c r="AJ35">
        <v>27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ht="12.75">
      <c r="A36">
        <f>ROW(Source!A31)</f>
        <v>31</v>
      </c>
      <c r="B36">
        <v>55668972</v>
      </c>
      <c r="C36">
        <v>55668962</v>
      </c>
      <c r="D36">
        <v>53792927</v>
      </c>
      <c r="E36">
        <v>1</v>
      </c>
      <c r="F36">
        <v>1</v>
      </c>
      <c r="G36">
        <v>1</v>
      </c>
      <c r="H36">
        <v>2</v>
      </c>
      <c r="I36" t="s">
        <v>289</v>
      </c>
      <c r="J36" t="s">
        <v>290</v>
      </c>
      <c r="K36" t="s">
        <v>291</v>
      </c>
      <c r="L36">
        <v>1367</v>
      </c>
      <c r="N36">
        <v>1011</v>
      </c>
      <c r="O36" t="s">
        <v>285</v>
      </c>
      <c r="P36" t="s">
        <v>285</v>
      </c>
      <c r="Q36">
        <v>1</v>
      </c>
      <c r="X36">
        <v>0.34</v>
      </c>
      <c r="Y36">
        <v>0</v>
      </c>
      <c r="Z36">
        <v>65.71</v>
      </c>
      <c r="AA36">
        <v>11.6</v>
      </c>
      <c r="AB36">
        <v>0</v>
      </c>
      <c r="AC36">
        <v>0</v>
      </c>
      <c r="AD36">
        <v>1</v>
      </c>
      <c r="AE36">
        <v>0</v>
      </c>
      <c r="AF36" t="s">
        <v>30</v>
      </c>
      <c r="AG36">
        <v>0.238</v>
      </c>
      <c r="AH36">
        <v>2</v>
      </c>
      <c r="AI36">
        <v>55668966</v>
      </c>
      <c r="AJ36">
        <v>28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ht="12.75">
      <c r="A37">
        <f>ROW(Source!A31)</f>
        <v>31</v>
      </c>
      <c r="B37">
        <v>55668973</v>
      </c>
      <c r="C37">
        <v>55668962</v>
      </c>
      <c r="D37">
        <v>53659482</v>
      </c>
      <c r="E37">
        <v>1</v>
      </c>
      <c r="F37">
        <v>1</v>
      </c>
      <c r="G37">
        <v>1</v>
      </c>
      <c r="H37">
        <v>3</v>
      </c>
      <c r="I37" t="s">
        <v>48</v>
      </c>
      <c r="J37" t="s">
        <v>51</v>
      </c>
      <c r="K37" t="s">
        <v>49</v>
      </c>
      <c r="L37">
        <v>1371</v>
      </c>
      <c r="N37">
        <v>1013</v>
      </c>
      <c r="O37" t="s">
        <v>50</v>
      </c>
      <c r="P37" t="s">
        <v>50</v>
      </c>
      <c r="Q37">
        <v>1</v>
      </c>
      <c r="X37">
        <v>0.01</v>
      </c>
      <c r="Y37">
        <v>346</v>
      </c>
      <c r="Z37">
        <v>0</v>
      </c>
      <c r="AA37">
        <v>0</v>
      </c>
      <c r="AB37">
        <v>0</v>
      </c>
      <c r="AC37">
        <v>0</v>
      </c>
      <c r="AD37">
        <v>1</v>
      </c>
      <c r="AE37">
        <v>0</v>
      </c>
      <c r="AF37" t="s">
        <v>29</v>
      </c>
      <c r="AG37">
        <v>0</v>
      </c>
      <c r="AH37">
        <v>2</v>
      </c>
      <c r="AI37">
        <v>55668967</v>
      </c>
      <c r="AJ37">
        <v>29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ht="12.75">
      <c r="A38">
        <f>ROW(Source!A31)</f>
        <v>31</v>
      </c>
      <c r="B38">
        <v>55668974</v>
      </c>
      <c r="C38">
        <v>55668962</v>
      </c>
      <c r="D38">
        <v>53662892</v>
      </c>
      <c r="E38">
        <v>1</v>
      </c>
      <c r="F38">
        <v>1</v>
      </c>
      <c r="G38">
        <v>1</v>
      </c>
      <c r="H38">
        <v>3</v>
      </c>
      <c r="I38" t="s">
        <v>53</v>
      </c>
      <c r="J38" t="s">
        <v>55</v>
      </c>
      <c r="K38" t="s">
        <v>54</v>
      </c>
      <c r="L38">
        <v>1348</v>
      </c>
      <c r="N38">
        <v>1009</v>
      </c>
      <c r="O38" t="s">
        <v>41</v>
      </c>
      <c r="P38" t="s">
        <v>41</v>
      </c>
      <c r="Q38">
        <v>1000</v>
      </c>
      <c r="X38">
        <v>1</v>
      </c>
      <c r="Y38">
        <v>10100</v>
      </c>
      <c r="Z38">
        <v>0</v>
      </c>
      <c r="AA38">
        <v>0</v>
      </c>
      <c r="AB38">
        <v>0</v>
      </c>
      <c r="AC38">
        <v>0</v>
      </c>
      <c r="AD38">
        <v>1</v>
      </c>
      <c r="AE38">
        <v>0</v>
      </c>
      <c r="AF38" t="s">
        <v>29</v>
      </c>
      <c r="AG38">
        <v>0</v>
      </c>
      <c r="AH38">
        <v>2</v>
      </c>
      <c r="AI38">
        <v>55668968</v>
      </c>
      <c r="AJ38">
        <v>30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ht="12.75">
      <c r="A39">
        <f>ROW(Source!A36)</f>
        <v>36</v>
      </c>
      <c r="B39">
        <v>55669030</v>
      </c>
      <c r="C39">
        <v>55669023</v>
      </c>
      <c r="D39">
        <v>53630109</v>
      </c>
      <c r="E39">
        <v>70</v>
      </c>
      <c r="F39">
        <v>1</v>
      </c>
      <c r="G39">
        <v>1</v>
      </c>
      <c r="H39">
        <v>1</v>
      </c>
      <c r="I39" t="s">
        <v>308</v>
      </c>
      <c r="K39" t="s">
        <v>309</v>
      </c>
      <c r="L39">
        <v>1191</v>
      </c>
      <c r="N39">
        <v>1013</v>
      </c>
      <c r="O39" t="s">
        <v>279</v>
      </c>
      <c r="P39" t="s">
        <v>279</v>
      </c>
      <c r="Q39">
        <v>1</v>
      </c>
      <c r="X39">
        <v>17.3</v>
      </c>
      <c r="Y39">
        <v>0</v>
      </c>
      <c r="Z39">
        <v>0</v>
      </c>
      <c r="AA39">
        <v>0</v>
      </c>
      <c r="AB39">
        <v>9.62</v>
      </c>
      <c r="AC39">
        <v>0</v>
      </c>
      <c r="AD39">
        <v>1</v>
      </c>
      <c r="AE39">
        <v>1</v>
      </c>
      <c r="AG39">
        <v>17.3</v>
      </c>
      <c r="AH39">
        <v>2</v>
      </c>
      <c r="AI39">
        <v>55669025</v>
      </c>
      <c r="AJ39">
        <v>31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ht="12.75">
      <c r="A40">
        <f>ROW(Source!A36)</f>
        <v>36</v>
      </c>
      <c r="B40">
        <v>55669031</v>
      </c>
      <c r="C40">
        <v>55669023</v>
      </c>
      <c r="D40">
        <v>53630257</v>
      </c>
      <c r="E40">
        <v>70</v>
      </c>
      <c r="F40">
        <v>1</v>
      </c>
      <c r="G40">
        <v>1</v>
      </c>
      <c r="H40">
        <v>1</v>
      </c>
      <c r="I40" t="s">
        <v>280</v>
      </c>
      <c r="K40" t="s">
        <v>281</v>
      </c>
      <c r="L40">
        <v>1191</v>
      </c>
      <c r="N40">
        <v>1013</v>
      </c>
      <c r="O40" t="s">
        <v>279</v>
      </c>
      <c r="P40" t="s">
        <v>279</v>
      </c>
      <c r="Q40">
        <v>1</v>
      </c>
      <c r="X40">
        <v>18.2</v>
      </c>
      <c r="Y40">
        <v>0</v>
      </c>
      <c r="Z40">
        <v>0</v>
      </c>
      <c r="AA40">
        <v>0</v>
      </c>
      <c r="AB40">
        <v>0</v>
      </c>
      <c r="AC40">
        <v>0</v>
      </c>
      <c r="AD40">
        <v>1</v>
      </c>
      <c r="AE40">
        <v>2</v>
      </c>
      <c r="AG40">
        <v>18.2</v>
      </c>
      <c r="AH40">
        <v>2</v>
      </c>
      <c r="AI40">
        <v>55669026</v>
      </c>
      <c r="AJ40">
        <v>32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 ht="12.75">
      <c r="A41">
        <f>ROW(Source!A36)</f>
        <v>36</v>
      </c>
      <c r="B41">
        <v>55669032</v>
      </c>
      <c r="C41">
        <v>55669023</v>
      </c>
      <c r="D41">
        <v>53792927</v>
      </c>
      <c r="E41">
        <v>1</v>
      </c>
      <c r="F41">
        <v>1</v>
      </c>
      <c r="G41">
        <v>1</v>
      </c>
      <c r="H41">
        <v>2</v>
      </c>
      <c r="I41" t="s">
        <v>289</v>
      </c>
      <c r="J41" t="s">
        <v>290</v>
      </c>
      <c r="K41" t="s">
        <v>291</v>
      </c>
      <c r="L41">
        <v>1367</v>
      </c>
      <c r="N41">
        <v>1011</v>
      </c>
      <c r="O41" t="s">
        <v>285</v>
      </c>
      <c r="P41" t="s">
        <v>285</v>
      </c>
      <c r="Q41">
        <v>1</v>
      </c>
      <c r="X41">
        <v>1.8</v>
      </c>
      <c r="Y41">
        <v>0</v>
      </c>
      <c r="Z41">
        <v>65.71</v>
      </c>
      <c r="AA41">
        <v>11.6</v>
      </c>
      <c r="AB41">
        <v>0</v>
      </c>
      <c r="AC41">
        <v>0</v>
      </c>
      <c r="AD41">
        <v>1</v>
      </c>
      <c r="AE41">
        <v>0</v>
      </c>
      <c r="AG41">
        <v>1.8</v>
      </c>
      <c r="AH41">
        <v>2</v>
      </c>
      <c r="AI41">
        <v>55669027</v>
      </c>
      <c r="AJ41">
        <v>33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 ht="12.75">
      <c r="A42">
        <f>ROW(Source!A36)</f>
        <v>36</v>
      </c>
      <c r="B42">
        <v>55669033</v>
      </c>
      <c r="C42">
        <v>55669023</v>
      </c>
      <c r="D42">
        <v>53793708</v>
      </c>
      <c r="E42">
        <v>1</v>
      </c>
      <c r="F42">
        <v>1</v>
      </c>
      <c r="G42">
        <v>1</v>
      </c>
      <c r="H42">
        <v>2</v>
      </c>
      <c r="I42" t="s">
        <v>310</v>
      </c>
      <c r="J42" t="s">
        <v>311</v>
      </c>
      <c r="K42" t="s">
        <v>312</v>
      </c>
      <c r="L42">
        <v>1367</v>
      </c>
      <c r="N42">
        <v>1011</v>
      </c>
      <c r="O42" t="s">
        <v>285</v>
      </c>
      <c r="P42" t="s">
        <v>285</v>
      </c>
      <c r="Q42">
        <v>1</v>
      </c>
      <c r="X42">
        <v>16.4</v>
      </c>
      <c r="Y42">
        <v>0</v>
      </c>
      <c r="Z42">
        <v>27.42</v>
      </c>
      <c r="AA42">
        <v>11.6</v>
      </c>
      <c r="AB42">
        <v>0</v>
      </c>
      <c r="AC42">
        <v>0</v>
      </c>
      <c r="AD42">
        <v>1</v>
      </c>
      <c r="AE42">
        <v>0</v>
      </c>
      <c r="AG42">
        <v>16.4</v>
      </c>
      <c r="AH42">
        <v>2</v>
      </c>
      <c r="AI42">
        <v>55669028</v>
      </c>
      <c r="AJ42">
        <v>34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ht="12.75">
      <c r="A43">
        <f>ROW(Source!A36)</f>
        <v>36</v>
      </c>
      <c r="B43">
        <v>55669034</v>
      </c>
      <c r="C43">
        <v>55669023</v>
      </c>
      <c r="D43">
        <v>53642555</v>
      </c>
      <c r="E43">
        <v>1</v>
      </c>
      <c r="F43">
        <v>1</v>
      </c>
      <c r="G43">
        <v>1</v>
      </c>
      <c r="H43">
        <v>3</v>
      </c>
      <c r="I43" t="s">
        <v>313</v>
      </c>
      <c r="J43" t="s">
        <v>314</v>
      </c>
      <c r="K43" t="s">
        <v>315</v>
      </c>
      <c r="L43">
        <v>1339</v>
      </c>
      <c r="N43">
        <v>1007</v>
      </c>
      <c r="O43" t="s">
        <v>305</v>
      </c>
      <c r="P43" t="s">
        <v>305</v>
      </c>
      <c r="Q43">
        <v>1</v>
      </c>
      <c r="X43">
        <v>0.443</v>
      </c>
      <c r="Y43">
        <v>2.44</v>
      </c>
      <c r="Z43">
        <v>0</v>
      </c>
      <c r="AA43">
        <v>0</v>
      </c>
      <c r="AB43">
        <v>0</v>
      </c>
      <c r="AC43">
        <v>0</v>
      </c>
      <c r="AD43">
        <v>1</v>
      </c>
      <c r="AE43">
        <v>0</v>
      </c>
      <c r="AG43">
        <v>0.443</v>
      </c>
      <c r="AH43">
        <v>2</v>
      </c>
      <c r="AI43">
        <v>55669029</v>
      </c>
      <c r="AJ43">
        <v>35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ht="12.75">
      <c r="A44">
        <f>ROW(Source!A36)</f>
        <v>36</v>
      </c>
      <c r="B44">
        <v>55669035</v>
      </c>
      <c r="C44">
        <v>55669023</v>
      </c>
      <c r="D44">
        <v>53645564</v>
      </c>
      <c r="E44">
        <v>1</v>
      </c>
      <c r="F44">
        <v>1</v>
      </c>
      <c r="G44">
        <v>1</v>
      </c>
      <c r="H44">
        <v>3</v>
      </c>
      <c r="I44" t="s">
        <v>371</v>
      </c>
      <c r="J44" t="s">
        <v>372</v>
      </c>
      <c r="K44" t="s">
        <v>373</v>
      </c>
      <c r="L44">
        <v>1371</v>
      </c>
      <c r="N44">
        <v>1013</v>
      </c>
      <c r="O44" t="s">
        <v>50</v>
      </c>
      <c r="P44" t="s">
        <v>50</v>
      </c>
      <c r="Q44">
        <v>1</v>
      </c>
      <c r="X44">
        <v>0</v>
      </c>
      <c r="Y44">
        <v>452.4</v>
      </c>
      <c r="Z44">
        <v>0</v>
      </c>
      <c r="AA44">
        <v>0</v>
      </c>
      <c r="AB44">
        <v>0</v>
      </c>
      <c r="AC44">
        <v>1</v>
      </c>
      <c r="AD44">
        <v>0</v>
      </c>
      <c r="AE44">
        <v>0</v>
      </c>
      <c r="AG44">
        <v>0</v>
      </c>
      <c r="AH44">
        <v>3</v>
      </c>
      <c r="AI44">
        <v>-1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ht="12.75">
      <c r="A45">
        <f>ROW(Source!A37)</f>
        <v>37</v>
      </c>
      <c r="B45">
        <v>55669030</v>
      </c>
      <c r="C45">
        <v>55669023</v>
      </c>
      <c r="D45">
        <v>53630109</v>
      </c>
      <c r="E45">
        <v>70</v>
      </c>
      <c r="F45">
        <v>1</v>
      </c>
      <c r="G45">
        <v>1</v>
      </c>
      <c r="H45">
        <v>1</v>
      </c>
      <c r="I45" t="s">
        <v>308</v>
      </c>
      <c r="K45" t="s">
        <v>309</v>
      </c>
      <c r="L45">
        <v>1191</v>
      </c>
      <c r="N45">
        <v>1013</v>
      </c>
      <c r="O45" t="s">
        <v>279</v>
      </c>
      <c r="P45" t="s">
        <v>279</v>
      </c>
      <c r="Q45">
        <v>1</v>
      </c>
      <c r="X45">
        <v>17.3</v>
      </c>
      <c r="Y45">
        <v>0</v>
      </c>
      <c r="Z45">
        <v>0</v>
      </c>
      <c r="AA45">
        <v>0</v>
      </c>
      <c r="AB45">
        <v>9.62</v>
      </c>
      <c r="AC45">
        <v>0</v>
      </c>
      <c r="AD45">
        <v>1</v>
      </c>
      <c r="AE45">
        <v>1</v>
      </c>
      <c r="AG45">
        <v>17.3</v>
      </c>
      <c r="AH45">
        <v>2</v>
      </c>
      <c r="AI45">
        <v>55669025</v>
      </c>
      <c r="AJ45">
        <v>37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ht="12.75">
      <c r="A46">
        <f>ROW(Source!A37)</f>
        <v>37</v>
      </c>
      <c r="B46">
        <v>55669031</v>
      </c>
      <c r="C46">
        <v>55669023</v>
      </c>
      <c r="D46">
        <v>53630257</v>
      </c>
      <c r="E46">
        <v>70</v>
      </c>
      <c r="F46">
        <v>1</v>
      </c>
      <c r="G46">
        <v>1</v>
      </c>
      <c r="H46">
        <v>1</v>
      </c>
      <c r="I46" t="s">
        <v>280</v>
      </c>
      <c r="K46" t="s">
        <v>281</v>
      </c>
      <c r="L46">
        <v>1191</v>
      </c>
      <c r="N46">
        <v>1013</v>
      </c>
      <c r="O46" t="s">
        <v>279</v>
      </c>
      <c r="P46" t="s">
        <v>279</v>
      </c>
      <c r="Q46">
        <v>1</v>
      </c>
      <c r="X46">
        <v>18.2</v>
      </c>
      <c r="Y46">
        <v>0</v>
      </c>
      <c r="Z46">
        <v>0</v>
      </c>
      <c r="AA46">
        <v>0</v>
      </c>
      <c r="AB46">
        <v>0</v>
      </c>
      <c r="AC46">
        <v>0</v>
      </c>
      <c r="AD46">
        <v>1</v>
      </c>
      <c r="AE46">
        <v>2</v>
      </c>
      <c r="AG46">
        <v>18.2</v>
      </c>
      <c r="AH46">
        <v>2</v>
      </c>
      <c r="AI46">
        <v>55669026</v>
      </c>
      <c r="AJ46">
        <v>38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ht="12.75">
      <c r="A47">
        <f>ROW(Source!A37)</f>
        <v>37</v>
      </c>
      <c r="B47">
        <v>55669032</v>
      </c>
      <c r="C47">
        <v>55669023</v>
      </c>
      <c r="D47">
        <v>53792927</v>
      </c>
      <c r="E47">
        <v>1</v>
      </c>
      <c r="F47">
        <v>1</v>
      </c>
      <c r="G47">
        <v>1</v>
      </c>
      <c r="H47">
        <v>2</v>
      </c>
      <c r="I47" t="s">
        <v>289</v>
      </c>
      <c r="J47" t="s">
        <v>290</v>
      </c>
      <c r="K47" t="s">
        <v>291</v>
      </c>
      <c r="L47">
        <v>1367</v>
      </c>
      <c r="N47">
        <v>1011</v>
      </c>
      <c r="O47" t="s">
        <v>285</v>
      </c>
      <c r="P47" t="s">
        <v>285</v>
      </c>
      <c r="Q47">
        <v>1</v>
      </c>
      <c r="X47">
        <v>1.8</v>
      </c>
      <c r="Y47">
        <v>0</v>
      </c>
      <c r="Z47">
        <v>65.71</v>
      </c>
      <c r="AA47">
        <v>11.6</v>
      </c>
      <c r="AB47">
        <v>0</v>
      </c>
      <c r="AC47">
        <v>0</v>
      </c>
      <c r="AD47">
        <v>1</v>
      </c>
      <c r="AE47">
        <v>0</v>
      </c>
      <c r="AG47">
        <v>1.8</v>
      </c>
      <c r="AH47">
        <v>2</v>
      </c>
      <c r="AI47">
        <v>55669027</v>
      </c>
      <c r="AJ47">
        <v>39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ht="12.75">
      <c r="A48">
        <f>ROW(Source!A37)</f>
        <v>37</v>
      </c>
      <c r="B48">
        <v>55669033</v>
      </c>
      <c r="C48">
        <v>55669023</v>
      </c>
      <c r="D48">
        <v>53793708</v>
      </c>
      <c r="E48">
        <v>1</v>
      </c>
      <c r="F48">
        <v>1</v>
      </c>
      <c r="G48">
        <v>1</v>
      </c>
      <c r="H48">
        <v>2</v>
      </c>
      <c r="I48" t="s">
        <v>310</v>
      </c>
      <c r="J48" t="s">
        <v>311</v>
      </c>
      <c r="K48" t="s">
        <v>312</v>
      </c>
      <c r="L48">
        <v>1367</v>
      </c>
      <c r="N48">
        <v>1011</v>
      </c>
      <c r="O48" t="s">
        <v>285</v>
      </c>
      <c r="P48" t="s">
        <v>285</v>
      </c>
      <c r="Q48">
        <v>1</v>
      </c>
      <c r="X48">
        <v>16.4</v>
      </c>
      <c r="Y48">
        <v>0</v>
      </c>
      <c r="Z48">
        <v>27.42</v>
      </c>
      <c r="AA48">
        <v>11.6</v>
      </c>
      <c r="AB48">
        <v>0</v>
      </c>
      <c r="AC48">
        <v>0</v>
      </c>
      <c r="AD48">
        <v>1</v>
      </c>
      <c r="AE48">
        <v>0</v>
      </c>
      <c r="AG48">
        <v>16.4</v>
      </c>
      <c r="AH48">
        <v>2</v>
      </c>
      <c r="AI48">
        <v>55669028</v>
      </c>
      <c r="AJ48">
        <v>40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ht="12.75">
      <c r="A49">
        <f>ROW(Source!A37)</f>
        <v>37</v>
      </c>
      <c r="B49">
        <v>55669034</v>
      </c>
      <c r="C49">
        <v>55669023</v>
      </c>
      <c r="D49">
        <v>53642555</v>
      </c>
      <c r="E49">
        <v>1</v>
      </c>
      <c r="F49">
        <v>1</v>
      </c>
      <c r="G49">
        <v>1</v>
      </c>
      <c r="H49">
        <v>3</v>
      </c>
      <c r="I49" t="s">
        <v>313</v>
      </c>
      <c r="J49" t="s">
        <v>314</v>
      </c>
      <c r="K49" t="s">
        <v>315</v>
      </c>
      <c r="L49">
        <v>1339</v>
      </c>
      <c r="N49">
        <v>1007</v>
      </c>
      <c r="O49" t="s">
        <v>305</v>
      </c>
      <c r="P49" t="s">
        <v>305</v>
      </c>
      <c r="Q49">
        <v>1</v>
      </c>
      <c r="X49">
        <v>0.443</v>
      </c>
      <c r="Y49">
        <v>2.44</v>
      </c>
      <c r="Z49">
        <v>0</v>
      </c>
      <c r="AA49">
        <v>0</v>
      </c>
      <c r="AB49">
        <v>0</v>
      </c>
      <c r="AC49">
        <v>0</v>
      </c>
      <c r="AD49">
        <v>1</v>
      </c>
      <c r="AE49">
        <v>0</v>
      </c>
      <c r="AG49">
        <v>0.443</v>
      </c>
      <c r="AH49">
        <v>2</v>
      </c>
      <c r="AI49">
        <v>55669029</v>
      </c>
      <c r="AJ49">
        <v>41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ht="12.75">
      <c r="A50">
        <f>ROW(Source!A37)</f>
        <v>37</v>
      </c>
      <c r="B50">
        <v>55669035</v>
      </c>
      <c r="C50">
        <v>55669023</v>
      </c>
      <c r="D50">
        <v>53645564</v>
      </c>
      <c r="E50">
        <v>1</v>
      </c>
      <c r="F50">
        <v>1</v>
      </c>
      <c r="G50">
        <v>1</v>
      </c>
      <c r="H50">
        <v>3</v>
      </c>
      <c r="I50" t="s">
        <v>371</v>
      </c>
      <c r="J50" t="s">
        <v>372</v>
      </c>
      <c r="K50" t="s">
        <v>373</v>
      </c>
      <c r="L50">
        <v>1371</v>
      </c>
      <c r="N50">
        <v>1013</v>
      </c>
      <c r="O50" t="s">
        <v>50</v>
      </c>
      <c r="P50" t="s">
        <v>50</v>
      </c>
      <c r="Q50">
        <v>1</v>
      </c>
      <c r="X50">
        <v>0</v>
      </c>
      <c r="Y50">
        <v>452.4</v>
      </c>
      <c r="Z50">
        <v>0</v>
      </c>
      <c r="AA50">
        <v>0</v>
      </c>
      <c r="AB50">
        <v>0</v>
      </c>
      <c r="AC50">
        <v>1</v>
      </c>
      <c r="AD50">
        <v>0</v>
      </c>
      <c r="AE50">
        <v>0</v>
      </c>
      <c r="AG50">
        <v>0</v>
      </c>
      <c r="AH50">
        <v>3</v>
      </c>
      <c r="AI50">
        <v>-1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 ht="12.75">
      <c r="A51">
        <f>ROW(Source!A40)</f>
        <v>40</v>
      </c>
      <c r="B51">
        <v>55669044</v>
      </c>
      <c r="C51">
        <v>55669037</v>
      </c>
      <c r="D51">
        <v>53630073</v>
      </c>
      <c r="E51">
        <v>70</v>
      </c>
      <c r="F51">
        <v>1</v>
      </c>
      <c r="G51">
        <v>1</v>
      </c>
      <c r="H51">
        <v>1</v>
      </c>
      <c r="I51" t="s">
        <v>306</v>
      </c>
      <c r="K51" t="s">
        <v>307</v>
      </c>
      <c r="L51">
        <v>1191</v>
      </c>
      <c r="N51">
        <v>1013</v>
      </c>
      <c r="O51" t="s">
        <v>279</v>
      </c>
      <c r="P51" t="s">
        <v>279</v>
      </c>
      <c r="Q51">
        <v>1</v>
      </c>
      <c r="X51">
        <v>289</v>
      </c>
      <c r="Y51">
        <v>0</v>
      </c>
      <c r="Z51">
        <v>0</v>
      </c>
      <c r="AA51">
        <v>0</v>
      </c>
      <c r="AB51">
        <v>8.86</v>
      </c>
      <c r="AC51">
        <v>0</v>
      </c>
      <c r="AD51">
        <v>1</v>
      </c>
      <c r="AE51">
        <v>1</v>
      </c>
      <c r="AF51" t="s">
        <v>73</v>
      </c>
      <c r="AG51">
        <v>332.34999999999997</v>
      </c>
      <c r="AH51">
        <v>2</v>
      </c>
      <c r="AI51">
        <v>55669038</v>
      </c>
      <c r="AJ51">
        <v>43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 ht="12.75">
      <c r="A52">
        <f>ROW(Source!A40)</f>
        <v>40</v>
      </c>
      <c r="B52">
        <v>55669045</v>
      </c>
      <c r="C52">
        <v>55669037</v>
      </c>
      <c r="D52">
        <v>53630257</v>
      </c>
      <c r="E52">
        <v>70</v>
      </c>
      <c r="F52">
        <v>1</v>
      </c>
      <c r="G52">
        <v>1</v>
      </c>
      <c r="H52">
        <v>1</v>
      </c>
      <c r="I52" t="s">
        <v>280</v>
      </c>
      <c r="K52" t="s">
        <v>281</v>
      </c>
      <c r="L52">
        <v>1191</v>
      </c>
      <c r="N52">
        <v>1013</v>
      </c>
      <c r="O52" t="s">
        <v>279</v>
      </c>
      <c r="P52" t="s">
        <v>279</v>
      </c>
      <c r="Q52">
        <v>1</v>
      </c>
      <c r="X52">
        <v>0.59</v>
      </c>
      <c r="Y52">
        <v>0</v>
      </c>
      <c r="Z52">
        <v>0</v>
      </c>
      <c r="AA52">
        <v>0</v>
      </c>
      <c r="AB52">
        <v>0</v>
      </c>
      <c r="AC52">
        <v>0</v>
      </c>
      <c r="AD52">
        <v>1</v>
      </c>
      <c r="AE52">
        <v>2</v>
      </c>
      <c r="AF52" t="s">
        <v>72</v>
      </c>
      <c r="AG52">
        <v>0.7374999999999999</v>
      </c>
      <c r="AH52">
        <v>2</v>
      </c>
      <c r="AI52">
        <v>55669039</v>
      </c>
      <c r="AJ52">
        <v>44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 ht="12.75">
      <c r="A53">
        <f>ROW(Source!A40)</f>
        <v>40</v>
      </c>
      <c r="B53">
        <v>55669046</v>
      </c>
      <c r="C53">
        <v>55669037</v>
      </c>
      <c r="D53">
        <v>53791997</v>
      </c>
      <c r="E53">
        <v>1</v>
      </c>
      <c r="F53">
        <v>1</v>
      </c>
      <c r="G53">
        <v>1</v>
      </c>
      <c r="H53">
        <v>2</v>
      </c>
      <c r="I53" t="s">
        <v>282</v>
      </c>
      <c r="J53" t="s">
        <v>283</v>
      </c>
      <c r="K53" t="s">
        <v>284</v>
      </c>
      <c r="L53">
        <v>1367</v>
      </c>
      <c r="N53">
        <v>1011</v>
      </c>
      <c r="O53" t="s">
        <v>285</v>
      </c>
      <c r="P53" t="s">
        <v>285</v>
      </c>
      <c r="Q53">
        <v>1</v>
      </c>
      <c r="X53">
        <v>0.25</v>
      </c>
      <c r="Y53">
        <v>0</v>
      </c>
      <c r="Z53">
        <v>115.4</v>
      </c>
      <c r="AA53">
        <v>13.5</v>
      </c>
      <c r="AB53">
        <v>0</v>
      </c>
      <c r="AC53">
        <v>0</v>
      </c>
      <c r="AD53">
        <v>1</v>
      </c>
      <c r="AE53">
        <v>0</v>
      </c>
      <c r="AF53" t="s">
        <v>72</v>
      </c>
      <c r="AG53">
        <v>0.3125</v>
      </c>
      <c r="AH53">
        <v>2</v>
      </c>
      <c r="AI53">
        <v>55669040</v>
      </c>
      <c r="AJ53">
        <v>45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ht="12.75">
      <c r="A54">
        <f>ROW(Source!A40)</f>
        <v>40</v>
      </c>
      <c r="B54">
        <v>55669047</v>
      </c>
      <c r="C54">
        <v>55669037</v>
      </c>
      <c r="D54">
        <v>53792927</v>
      </c>
      <c r="E54">
        <v>1</v>
      </c>
      <c r="F54">
        <v>1</v>
      </c>
      <c r="G54">
        <v>1</v>
      </c>
      <c r="H54">
        <v>2</v>
      </c>
      <c r="I54" t="s">
        <v>289</v>
      </c>
      <c r="J54" t="s">
        <v>290</v>
      </c>
      <c r="K54" t="s">
        <v>291</v>
      </c>
      <c r="L54">
        <v>1367</v>
      </c>
      <c r="N54">
        <v>1011</v>
      </c>
      <c r="O54" t="s">
        <v>285</v>
      </c>
      <c r="P54" t="s">
        <v>285</v>
      </c>
      <c r="Q54">
        <v>1</v>
      </c>
      <c r="X54">
        <v>0.34</v>
      </c>
      <c r="Y54">
        <v>0</v>
      </c>
      <c r="Z54">
        <v>65.71</v>
      </c>
      <c r="AA54">
        <v>11.6</v>
      </c>
      <c r="AB54">
        <v>0</v>
      </c>
      <c r="AC54">
        <v>0</v>
      </c>
      <c r="AD54">
        <v>1</v>
      </c>
      <c r="AE54">
        <v>0</v>
      </c>
      <c r="AF54" t="s">
        <v>72</v>
      </c>
      <c r="AG54">
        <v>0.42500000000000004</v>
      </c>
      <c r="AH54">
        <v>2</v>
      </c>
      <c r="AI54">
        <v>55669041</v>
      </c>
      <c r="AJ54">
        <v>46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ht="12.75">
      <c r="A55">
        <f>ROW(Source!A40)</f>
        <v>40</v>
      </c>
      <c r="B55">
        <v>55669048</v>
      </c>
      <c r="C55">
        <v>55669037</v>
      </c>
      <c r="D55">
        <v>53659482</v>
      </c>
      <c r="E55">
        <v>1</v>
      </c>
      <c r="F55">
        <v>1</v>
      </c>
      <c r="G55">
        <v>1</v>
      </c>
      <c r="H55">
        <v>3</v>
      </c>
      <c r="I55" t="s">
        <v>48</v>
      </c>
      <c r="J55" t="s">
        <v>51</v>
      </c>
      <c r="K55" t="s">
        <v>49</v>
      </c>
      <c r="L55">
        <v>1371</v>
      </c>
      <c r="N55">
        <v>1013</v>
      </c>
      <c r="O55" t="s">
        <v>50</v>
      </c>
      <c r="P55" t="s">
        <v>50</v>
      </c>
      <c r="Q55">
        <v>1</v>
      </c>
      <c r="X55">
        <v>0.01</v>
      </c>
      <c r="Y55">
        <v>346</v>
      </c>
      <c r="Z55">
        <v>0</v>
      </c>
      <c r="AA55">
        <v>0</v>
      </c>
      <c r="AB55">
        <v>0</v>
      </c>
      <c r="AC55">
        <v>0</v>
      </c>
      <c r="AD55">
        <v>1</v>
      </c>
      <c r="AE55">
        <v>0</v>
      </c>
      <c r="AG55">
        <v>0.01</v>
      </c>
      <c r="AH55">
        <v>2</v>
      </c>
      <c r="AI55">
        <v>55669042</v>
      </c>
      <c r="AJ55">
        <v>47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ht="12.75">
      <c r="A56">
        <f>ROW(Source!A40)</f>
        <v>40</v>
      </c>
      <c r="B56">
        <v>55669049</v>
      </c>
      <c r="C56">
        <v>55669037</v>
      </c>
      <c r="D56">
        <v>53662892</v>
      </c>
      <c r="E56">
        <v>1</v>
      </c>
      <c r="F56">
        <v>1</v>
      </c>
      <c r="G56">
        <v>1</v>
      </c>
      <c r="H56">
        <v>3</v>
      </c>
      <c r="I56" t="s">
        <v>53</v>
      </c>
      <c r="J56" t="s">
        <v>55</v>
      </c>
      <c r="K56" t="s">
        <v>54</v>
      </c>
      <c r="L56">
        <v>1348</v>
      </c>
      <c r="N56">
        <v>1009</v>
      </c>
      <c r="O56" t="s">
        <v>41</v>
      </c>
      <c r="P56" t="s">
        <v>41</v>
      </c>
      <c r="Q56">
        <v>1000</v>
      </c>
      <c r="X56">
        <v>1</v>
      </c>
      <c r="Y56">
        <v>10100</v>
      </c>
      <c r="Z56">
        <v>0</v>
      </c>
      <c r="AA56">
        <v>0</v>
      </c>
      <c r="AB56">
        <v>0</v>
      </c>
      <c r="AC56">
        <v>0</v>
      </c>
      <c r="AD56">
        <v>1</v>
      </c>
      <c r="AE56">
        <v>0</v>
      </c>
      <c r="AG56">
        <v>1</v>
      </c>
      <c r="AH56">
        <v>2</v>
      </c>
      <c r="AI56">
        <v>55669043</v>
      </c>
      <c r="AJ56">
        <v>48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ht="12.75">
      <c r="A57">
        <f>ROW(Source!A41)</f>
        <v>41</v>
      </c>
      <c r="B57">
        <v>55669044</v>
      </c>
      <c r="C57">
        <v>55669037</v>
      </c>
      <c r="D57">
        <v>53630073</v>
      </c>
      <c r="E57">
        <v>70</v>
      </c>
      <c r="F57">
        <v>1</v>
      </c>
      <c r="G57">
        <v>1</v>
      </c>
      <c r="H57">
        <v>1</v>
      </c>
      <c r="I57" t="s">
        <v>306</v>
      </c>
      <c r="K57" t="s">
        <v>307</v>
      </c>
      <c r="L57">
        <v>1191</v>
      </c>
      <c r="N57">
        <v>1013</v>
      </c>
      <c r="O57" t="s">
        <v>279</v>
      </c>
      <c r="P57" t="s">
        <v>279</v>
      </c>
      <c r="Q57">
        <v>1</v>
      </c>
      <c r="X57">
        <v>289</v>
      </c>
      <c r="Y57">
        <v>0</v>
      </c>
      <c r="Z57">
        <v>0</v>
      </c>
      <c r="AA57">
        <v>0</v>
      </c>
      <c r="AB57">
        <v>8.86</v>
      </c>
      <c r="AC57">
        <v>0</v>
      </c>
      <c r="AD57">
        <v>1</v>
      </c>
      <c r="AE57">
        <v>1</v>
      </c>
      <c r="AF57" t="s">
        <v>73</v>
      </c>
      <c r="AG57">
        <v>332.34999999999997</v>
      </c>
      <c r="AH57">
        <v>2</v>
      </c>
      <c r="AI57">
        <v>55669038</v>
      </c>
      <c r="AJ57">
        <v>49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ht="12.75">
      <c r="A58">
        <f>ROW(Source!A41)</f>
        <v>41</v>
      </c>
      <c r="B58">
        <v>55669045</v>
      </c>
      <c r="C58">
        <v>55669037</v>
      </c>
      <c r="D58">
        <v>53630257</v>
      </c>
      <c r="E58">
        <v>70</v>
      </c>
      <c r="F58">
        <v>1</v>
      </c>
      <c r="G58">
        <v>1</v>
      </c>
      <c r="H58">
        <v>1</v>
      </c>
      <c r="I58" t="s">
        <v>280</v>
      </c>
      <c r="K58" t="s">
        <v>281</v>
      </c>
      <c r="L58">
        <v>1191</v>
      </c>
      <c r="N58">
        <v>1013</v>
      </c>
      <c r="O58" t="s">
        <v>279</v>
      </c>
      <c r="P58" t="s">
        <v>279</v>
      </c>
      <c r="Q58">
        <v>1</v>
      </c>
      <c r="X58">
        <v>0.59</v>
      </c>
      <c r="Y58">
        <v>0</v>
      </c>
      <c r="Z58">
        <v>0</v>
      </c>
      <c r="AA58">
        <v>0</v>
      </c>
      <c r="AB58">
        <v>0</v>
      </c>
      <c r="AC58">
        <v>0</v>
      </c>
      <c r="AD58">
        <v>1</v>
      </c>
      <c r="AE58">
        <v>2</v>
      </c>
      <c r="AF58" t="s">
        <v>72</v>
      </c>
      <c r="AG58">
        <v>0.7374999999999999</v>
      </c>
      <c r="AH58">
        <v>2</v>
      </c>
      <c r="AI58">
        <v>55669039</v>
      </c>
      <c r="AJ58">
        <v>50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ht="12.75">
      <c r="A59">
        <f>ROW(Source!A41)</f>
        <v>41</v>
      </c>
      <c r="B59">
        <v>55669046</v>
      </c>
      <c r="C59">
        <v>55669037</v>
      </c>
      <c r="D59">
        <v>53791997</v>
      </c>
      <c r="E59">
        <v>1</v>
      </c>
      <c r="F59">
        <v>1</v>
      </c>
      <c r="G59">
        <v>1</v>
      </c>
      <c r="H59">
        <v>2</v>
      </c>
      <c r="I59" t="s">
        <v>282</v>
      </c>
      <c r="J59" t="s">
        <v>283</v>
      </c>
      <c r="K59" t="s">
        <v>284</v>
      </c>
      <c r="L59">
        <v>1367</v>
      </c>
      <c r="N59">
        <v>1011</v>
      </c>
      <c r="O59" t="s">
        <v>285</v>
      </c>
      <c r="P59" t="s">
        <v>285</v>
      </c>
      <c r="Q59">
        <v>1</v>
      </c>
      <c r="X59">
        <v>0.25</v>
      </c>
      <c r="Y59">
        <v>0</v>
      </c>
      <c r="Z59">
        <v>115.4</v>
      </c>
      <c r="AA59">
        <v>13.5</v>
      </c>
      <c r="AB59">
        <v>0</v>
      </c>
      <c r="AC59">
        <v>0</v>
      </c>
      <c r="AD59">
        <v>1</v>
      </c>
      <c r="AE59">
        <v>0</v>
      </c>
      <c r="AF59" t="s">
        <v>72</v>
      </c>
      <c r="AG59">
        <v>0.3125</v>
      </c>
      <c r="AH59">
        <v>2</v>
      </c>
      <c r="AI59">
        <v>55669040</v>
      </c>
      <c r="AJ59">
        <v>51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ht="12.75">
      <c r="A60">
        <f>ROW(Source!A41)</f>
        <v>41</v>
      </c>
      <c r="B60">
        <v>55669047</v>
      </c>
      <c r="C60">
        <v>55669037</v>
      </c>
      <c r="D60">
        <v>53792927</v>
      </c>
      <c r="E60">
        <v>1</v>
      </c>
      <c r="F60">
        <v>1</v>
      </c>
      <c r="G60">
        <v>1</v>
      </c>
      <c r="H60">
        <v>2</v>
      </c>
      <c r="I60" t="s">
        <v>289</v>
      </c>
      <c r="J60" t="s">
        <v>290</v>
      </c>
      <c r="K60" t="s">
        <v>291</v>
      </c>
      <c r="L60">
        <v>1367</v>
      </c>
      <c r="N60">
        <v>1011</v>
      </c>
      <c r="O60" t="s">
        <v>285</v>
      </c>
      <c r="P60" t="s">
        <v>285</v>
      </c>
      <c r="Q60">
        <v>1</v>
      </c>
      <c r="X60">
        <v>0.34</v>
      </c>
      <c r="Y60">
        <v>0</v>
      </c>
      <c r="Z60">
        <v>65.71</v>
      </c>
      <c r="AA60">
        <v>11.6</v>
      </c>
      <c r="AB60">
        <v>0</v>
      </c>
      <c r="AC60">
        <v>0</v>
      </c>
      <c r="AD60">
        <v>1</v>
      </c>
      <c r="AE60">
        <v>0</v>
      </c>
      <c r="AF60" t="s">
        <v>72</v>
      </c>
      <c r="AG60">
        <v>0.42500000000000004</v>
      </c>
      <c r="AH60">
        <v>2</v>
      </c>
      <c r="AI60">
        <v>55669041</v>
      </c>
      <c r="AJ60">
        <v>52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ht="12.75">
      <c r="A61">
        <f>ROW(Source!A41)</f>
        <v>41</v>
      </c>
      <c r="B61">
        <v>55669048</v>
      </c>
      <c r="C61">
        <v>55669037</v>
      </c>
      <c r="D61">
        <v>53659482</v>
      </c>
      <c r="E61">
        <v>1</v>
      </c>
      <c r="F61">
        <v>1</v>
      </c>
      <c r="G61">
        <v>1</v>
      </c>
      <c r="H61">
        <v>3</v>
      </c>
      <c r="I61" t="s">
        <v>48</v>
      </c>
      <c r="J61" t="s">
        <v>51</v>
      </c>
      <c r="K61" t="s">
        <v>49</v>
      </c>
      <c r="L61">
        <v>1371</v>
      </c>
      <c r="N61">
        <v>1013</v>
      </c>
      <c r="O61" t="s">
        <v>50</v>
      </c>
      <c r="P61" t="s">
        <v>50</v>
      </c>
      <c r="Q61">
        <v>1</v>
      </c>
      <c r="X61">
        <v>0.01</v>
      </c>
      <c r="Y61">
        <v>346</v>
      </c>
      <c r="Z61">
        <v>0</v>
      </c>
      <c r="AA61">
        <v>0</v>
      </c>
      <c r="AB61">
        <v>0</v>
      </c>
      <c r="AC61">
        <v>0</v>
      </c>
      <c r="AD61">
        <v>1</v>
      </c>
      <c r="AE61">
        <v>0</v>
      </c>
      <c r="AG61">
        <v>0.01</v>
      </c>
      <c r="AH61">
        <v>2</v>
      </c>
      <c r="AI61">
        <v>55669042</v>
      </c>
      <c r="AJ61">
        <v>53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</row>
    <row r="62" spans="1:44" ht="12.75">
      <c r="A62">
        <f>ROW(Source!A41)</f>
        <v>41</v>
      </c>
      <c r="B62">
        <v>55669049</v>
      </c>
      <c r="C62">
        <v>55669037</v>
      </c>
      <c r="D62">
        <v>53662892</v>
      </c>
      <c r="E62">
        <v>1</v>
      </c>
      <c r="F62">
        <v>1</v>
      </c>
      <c r="G62">
        <v>1</v>
      </c>
      <c r="H62">
        <v>3</v>
      </c>
      <c r="I62" t="s">
        <v>53</v>
      </c>
      <c r="J62" t="s">
        <v>55</v>
      </c>
      <c r="K62" t="s">
        <v>54</v>
      </c>
      <c r="L62">
        <v>1348</v>
      </c>
      <c r="N62">
        <v>1009</v>
      </c>
      <c r="O62" t="s">
        <v>41</v>
      </c>
      <c r="P62" t="s">
        <v>41</v>
      </c>
      <c r="Q62">
        <v>1000</v>
      </c>
      <c r="X62">
        <v>1</v>
      </c>
      <c r="Y62">
        <v>10100</v>
      </c>
      <c r="Z62">
        <v>0</v>
      </c>
      <c r="AA62">
        <v>0</v>
      </c>
      <c r="AB62">
        <v>0</v>
      </c>
      <c r="AC62">
        <v>0</v>
      </c>
      <c r="AD62">
        <v>1</v>
      </c>
      <c r="AE62">
        <v>0</v>
      </c>
      <c r="AG62">
        <v>1</v>
      </c>
      <c r="AH62">
        <v>2</v>
      </c>
      <c r="AI62">
        <v>55669043</v>
      </c>
      <c r="AJ62">
        <v>54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</row>
    <row r="63" spans="1:44" ht="12.75">
      <c r="A63">
        <f>ROW(Source!A42)</f>
        <v>42</v>
      </c>
      <c r="B63">
        <v>55669062</v>
      </c>
      <c r="C63">
        <v>55669050</v>
      </c>
      <c r="D63">
        <v>53630123</v>
      </c>
      <c r="E63">
        <v>70</v>
      </c>
      <c r="F63">
        <v>1</v>
      </c>
      <c r="G63">
        <v>1</v>
      </c>
      <c r="H63">
        <v>1</v>
      </c>
      <c r="I63" t="s">
        <v>277</v>
      </c>
      <c r="K63" t="s">
        <v>278</v>
      </c>
      <c r="L63">
        <v>1191</v>
      </c>
      <c r="N63">
        <v>1013</v>
      </c>
      <c r="O63" t="s">
        <v>279</v>
      </c>
      <c r="P63" t="s">
        <v>279</v>
      </c>
      <c r="Q63">
        <v>1</v>
      </c>
      <c r="X63">
        <v>298</v>
      </c>
      <c r="Y63">
        <v>0</v>
      </c>
      <c r="Z63">
        <v>0</v>
      </c>
      <c r="AA63">
        <v>0</v>
      </c>
      <c r="AB63">
        <v>10.06</v>
      </c>
      <c r="AC63">
        <v>0</v>
      </c>
      <c r="AD63">
        <v>1</v>
      </c>
      <c r="AE63">
        <v>1</v>
      </c>
      <c r="AF63" t="s">
        <v>73</v>
      </c>
      <c r="AG63">
        <v>342.7</v>
      </c>
      <c r="AH63">
        <v>2</v>
      </c>
      <c r="AI63">
        <v>55669051</v>
      </c>
      <c r="AJ63">
        <v>55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ht="12.75">
      <c r="A64">
        <f>ROW(Source!A42)</f>
        <v>42</v>
      </c>
      <c r="B64">
        <v>55669063</v>
      </c>
      <c r="C64">
        <v>55669050</v>
      </c>
      <c r="D64">
        <v>53630257</v>
      </c>
      <c r="E64">
        <v>70</v>
      </c>
      <c r="F64">
        <v>1</v>
      </c>
      <c r="G64">
        <v>1</v>
      </c>
      <c r="H64">
        <v>1</v>
      </c>
      <c r="I64" t="s">
        <v>280</v>
      </c>
      <c r="K64" t="s">
        <v>281</v>
      </c>
      <c r="L64">
        <v>1191</v>
      </c>
      <c r="N64">
        <v>1013</v>
      </c>
      <c r="O64" t="s">
        <v>279</v>
      </c>
      <c r="P64" t="s">
        <v>279</v>
      </c>
      <c r="Q64">
        <v>1</v>
      </c>
      <c r="X64">
        <v>2.48</v>
      </c>
      <c r="Y64">
        <v>0</v>
      </c>
      <c r="Z64">
        <v>0</v>
      </c>
      <c r="AA64">
        <v>0</v>
      </c>
      <c r="AB64">
        <v>0</v>
      </c>
      <c r="AC64">
        <v>0</v>
      </c>
      <c r="AD64">
        <v>1</v>
      </c>
      <c r="AE64">
        <v>2</v>
      </c>
      <c r="AF64" t="s">
        <v>72</v>
      </c>
      <c r="AG64">
        <v>3.1</v>
      </c>
      <c r="AH64">
        <v>2</v>
      </c>
      <c r="AI64">
        <v>55669052</v>
      </c>
      <c r="AJ64">
        <v>56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</row>
    <row r="65" spans="1:44" ht="12.75">
      <c r="A65">
        <f>ROW(Source!A42)</f>
        <v>42</v>
      </c>
      <c r="B65">
        <v>55669064</v>
      </c>
      <c r="C65">
        <v>55669050</v>
      </c>
      <c r="D65">
        <v>53791997</v>
      </c>
      <c r="E65">
        <v>1</v>
      </c>
      <c r="F65">
        <v>1</v>
      </c>
      <c r="G65">
        <v>1</v>
      </c>
      <c r="H65">
        <v>2</v>
      </c>
      <c r="I65" t="s">
        <v>282</v>
      </c>
      <c r="J65" t="s">
        <v>283</v>
      </c>
      <c r="K65" t="s">
        <v>284</v>
      </c>
      <c r="L65">
        <v>1367</v>
      </c>
      <c r="N65">
        <v>1011</v>
      </c>
      <c r="O65" t="s">
        <v>285</v>
      </c>
      <c r="P65" t="s">
        <v>285</v>
      </c>
      <c r="Q65">
        <v>1</v>
      </c>
      <c r="X65">
        <v>2.2</v>
      </c>
      <c r="Y65">
        <v>0</v>
      </c>
      <c r="Z65">
        <v>115.4</v>
      </c>
      <c r="AA65">
        <v>13.5</v>
      </c>
      <c r="AB65">
        <v>0</v>
      </c>
      <c r="AC65">
        <v>0</v>
      </c>
      <c r="AD65">
        <v>1</v>
      </c>
      <c r="AE65">
        <v>0</v>
      </c>
      <c r="AF65" t="s">
        <v>72</v>
      </c>
      <c r="AG65">
        <v>2.75</v>
      </c>
      <c r="AH65">
        <v>2</v>
      </c>
      <c r="AI65">
        <v>55669053</v>
      </c>
      <c r="AJ65">
        <v>57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 ht="12.75">
      <c r="A66">
        <f>ROW(Source!A42)</f>
        <v>42</v>
      </c>
      <c r="B66">
        <v>55669065</v>
      </c>
      <c r="C66">
        <v>55669050</v>
      </c>
      <c r="D66">
        <v>53792134</v>
      </c>
      <c r="E66">
        <v>1</v>
      </c>
      <c r="F66">
        <v>1</v>
      </c>
      <c r="G66">
        <v>1</v>
      </c>
      <c r="H66">
        <v>2</v>
      </c>
      <c r="I66" t="s">
        <v>286</v>
      </c>
      <c r="J66" t="s">
        <v>287</v>
      </c>
      <c r="K66" t="s">
        <v>288</v>
      </c>
      <c r="L66">
        <v>1367</v>
      </c>
      <c r="N66">
        <v>1011</v>
      </c>
      <c r="O66" t="s">
        <v>285</v>
      </c>
      <c r="P66" t="s">
        <v>285</v>
      </c>
      <c r="Q66">
        <v>1</v>
      </c>
      <c r="X66">
        <v>43.9</v>
      </c>
      <c r="Y66">
        <v>0</v>
      </c>
      <c r="Z66">
        <v>6.9</v>
      </c>
      <c r="AA66">
        <v>0</v>
      </c>
      <c r="AB66">
        <v>0</v>
      </c>
      <c r="AC66">
        <v>0</v>
      </c>
      <c r="AD66">
        <v>1</v>
      </c>
      <c r="AE66">
        <v>0</v>
      </c>
      <c r="AF66" t="s">
        <v>72</v>
      </c>
      <c r="AG66">
        <v>54.875</v>
      </c>
      <c r="AH66">
        <v>2</v>
      </c>
      <c r="AI66">
        <v>55669054</v>
      </c>
      <c r="AJ66">
        <v>58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</row>
    <row r="67" spans="1:44" ht="12.75">
      <c r="A67">
        <f>ROW(Source!A42)</f>
        <v>42</v>
      </c>
      <c r="B67">
        <v>55669066</v>
      </c>
      <c r="C67">
        <v>55669050</v>
      </c>
      <c r="D67">
        <v>53792927</v>
      </c>
      <c r="E67">
        <v>1</v>
      </c>
      <c r="F67">
        <v>1</v>
      </c>
      <c r="G67">
        <v>1</v>
      </c>
      <c r="H67">
        <v>2</v>
      </c>
      <c r="I67" t="s">
        <v>289</v>
      </c>
      <c r="J67" t="s">
        <v>290</v>
      </c>
      <c r="K67" t="s">
        <v>291</v>
      </c>
      <c r="L67">
        <v>1367</v>
      </c>
      <c r="N67">
        <v>1011</v>
      </c>
      <c r="O67" t="s">
        <v>285</v>
      </c>
      <c r="P67" t="s">
        <v>285</v>
      </c>
      <c r="Q67">
        <v>1</v>
      </c>
      <c r="X67">
        <v>0.28</v>
      </c>
      <c r="Y67">
        <v>0</v>
      </c>
      <c r="Z67">
        <v>65.71</v>
      </c>
      <c r="AA67">
        <v>11.6</v>
      </c>
      <c r="AB67">
        <v>0</v>
      </c>
      <c r="AC67">
        <v>0</v>
      </c>
      <c r="AD67">
        <v>1</v>
      </c>
      <c r="AE67">
        <v>0</v>
      </c>
      <c r="AF67" t="s">
        <v>72</v>
      </c>
      <c r="AG67">
        <v>0.35000000000000003</v>
      </c>
      <c r="AH67">
        <v>2</v>
      </c>
      <c r="AI67">
        <v>55669055</v>
      </c>
      <c r="AJ67">
        <v>59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ht="12.75">
      <c r="A68">
        <f>ROW(Source!A42)</f>
        <v>42</v>
      </c>
      <c r="B68">
        <v>55669067</v>
      </c>
      <c r="C68">
        <v>55669050</v>
      </c>
      <c r="D68">
        <v>53645866</v>
      </c>
      <c r="E68">
        <v>1</v>
      </c>
      <c r="F68">
        <v>1</v>
      </c>
      <c r="G68">
        <v>1</v>
      </c>
      <c r="H68">
        <v>3</v>
      </c>
      <c r="I68" t="s">
        <v>360</v>
      </c>
      <c r="J68" t="s">
        <v>361</v>
      </c>
      <c r="K68" t="s">
        <v>362</v>
      </c>
      <c r="L68">
        <v>1346</v>
      </c>
      <c r="N68">
        <v>1009</v>
      </c>
      <c r="O68" t="s">
        <v>340</v>
      </c>
      <c r="P68" t="s">
        <v>340</v>
      </c>
      <c r="Q68">
        <v>1</v>
      </c>
      <c r="X68">
        <v>0</v>
      </c>
      <c r="Y68">
        <v>28.26</v>
      </c>
      <c r="Z68">
        <v>0</v>
      </c>
      <c r="AA68">
        <v>0</v>
      </c>
      <c r="AB68">
        <v>0</v>
      </c>
      <c r="AC68">
        <v>1</v>
      </c>
      <c r="AD68">
        <v>0</v>
      </c>
      <c r="AE68">
        <v>0</v>
      </c>
      <c r="AG68">
        <v>0</v>
      </c>
      <c r="AH68">
        <v>3</v>
      </c>
      <c r="AI68">
        <v>-1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ht="12.75">
      <c r="A69">
        <f>ROW(Source!A42)</f>
        <v>42</v>
      </c>
      <c r="B69">
        <v>55669068</v>
      </c>
      <c r="C69">
        <v>55669050</v>
      </c>
      <c r="D69">
        <v>53646035</v>
      </c>
      <c r="E69">
        <v>1</v>
      </c>
      <c r="F69">
        <v>1</v>
      </c>
      <c r="G69">
        <v>1</v>
      </c>
      <c r="H69">
        <v>3</v>
      </c>
      <c r="I69" t="s">
        <v>292</v>
      </c>
      <c r="J69" t="s">
        <v>293</v>
      </c>
      <c r="K69" t="s">
        <v>294</v>
      </c>
      <c r="L69">
        <v>1348</v>
      </c>
      <c r="N69">
        <v>1009</v>
      </c>
      <c r="O69" t="s">
        <v>41</v>
      </c>
      <c r="P69" t="s">
        <v>41</v>
      </c>
      <c r="Q69">
        <v>1000</v>
      </c>
      <c r="X69">
        <v>0.00115</v>
      </c>
      <c r="Y69">
        <v>37900</v>
      </c>
      <c r="Z69">
        <v>0</v>
      </c>
      <c r="AA69">
        <v>0</v>
      </c>
      <c r="AB69">
        <v>0</v>
      </c>
      <c r="AC69">
        <v>0</v>
      </c>
      <c r="AD69">
        <v>1</v>
      </c>
      <c r="AE69">
        <v>0</v>
      </c>
      <c r="AG69">
        <v>0.00115</v>
      </c>
      <c r="AH69">
        <v>2</v>
      </c>
      <c r="AI69">
        <v>55669056</v>
      </c>
      <c r="AJ69">
        <v>60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</row>
    <row r="70" spans="1:44" ht="12.75">
      <c r="A70">
        <f>ROW(Source!A42)</f>
        <v>42</v>
      </c>
      <c r="B70">
        <v>55669069</v>
      </c>
      <c r="C70">
        <v>55669050</v>
      </c>
      <c r="D70">
        <v>53646160</v>
      </c>
      <c r="E70">
        <v>1</v>
      </c>
      <c r="F70">
        <v>1</v>
      </c>
      <c r="G70">
        <v>1</v>
      </c>
      <c r="H70">
        <v>3</v>
      </c>
      <c r="I70" t="s">
        <v>363</v>
      </c>
      <c r="J70" t="s">
        <v>364</v>
      </c>
      <c r="K70" t="s">
        <v>365</v>
      </c>
      <c r="L70">
        <v>1327</v>
      </c>
      <c r="N70">
        <v>1005</v>
      </c>
      <c r="O70" t="s">
        <v>81</v>
      </c>
      <c r="P70" t="s">
        <v>81</v>
      </c>
      <c r="Q70">
        <v>1</v>
      </c>
      <c r="X70">
        <v>0</v>
      </c>
      <c r="Y70">
        <v>52</v>
      </c>
      <c r="Z70">
        <v>0</v>
      </c>
      <c r="AA70">
        <v>0</v>
      </c>
      <c r="AB70">
        <v>0</v>
      </c>
      <c r="AC70">
        <v>1</v>
      </c>
      <c r="AD70">
        <v>0</v>
      </c>
      <c r="AE70">
        <v>0</v>
      </c>
      <c r="AG70">
        <v>0</v>
      </c>
      <c r="AH70">
        <v>3</v>
      </c>
      <c r="AI70">
        <v>-1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</row>
    <row r="71" spans="1:44" ht="12.75">
      <c r="A71">
        <f>ROW(Source!A42)</f>
        <v>42</v>
      </c>
      <c r="B71">
        <v>55669070</v>
      </c>
      <c r="C71">
        <v>55669050</v>
      </c>
      <c r="D71">
        <v>53646246</v>
      </c>
      <c r="E71">
        <v>1</v>
      </c>
      <c r="F71">
        <v>1</v>
      </c>
      <c r="G71">
        <v>1</v>
      </c>
      <c r="H71">
        <v>3</v>
      </c>
      <c r="I71" t="s">
        <v>366</v>
      </c>
      <c r="J71" t="s">
        <v>367</v>
      </c>
      <c r="K71" t="s">
        <v>368</v>
      </c>
      <c r="L71">
        <v>1327</v>
      </c>
      <c r="N71">
        <v>1005</v>
      </c>
      <c r="O71" t="s">
        <v>81</v>
      </c>
      <c r="P71" t="s">
        <v>81</v>
      </c>
      <c r="Q71">
        <v>1</v>
      </c>
      <c r="X71">
        <v>0</v>
      </c>
      <c r="Y71">
        <v>350</v>
      </c>
      <c r="Z71">
        <v>0</v>
      </c>
      <c r="AA71">
        <v>0</v>
      </c>
      <c r="AB71">
        <v>0</v>
      </c>
      <c r="AC71">
        <v>1</v>
      </c>
      <c r="AD71">
        <v>0</v>
      </c>
      <c r="AE71">
        <v>0</v>
      </c>
      <c r="AG71">
        <v>0</v>
      </c>
      <c r="AH71">
        <v>3</v>
      </c>
      <c r="AI71">
        <v>-1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 ht="12.75">
      <c r="A72">
        <f>ROW(Source!A42)</f>
        <v>42</v>
      </c>
      <c r="B72">
        <v>55669071</v>
      </c>
      <c r="C72">
        <v>55669050</v>
      </c>
      <c r="D72">
        <v>53659617</v>
      </c>
      <c r="E72">
        <v>1</v>
      </c>
      <c r="F72">
        <v>1</v>
      </c>
      <c r="G72">
        <v>1</v>
      </c>
      <c r="H72">
        <v>3</v>
      </c>
      <c r="I72" t="s">
        <v>295</v>
      </c>
      <c r="J72" t="s">
        <v>296</v>
      </c>
      <c r="K72" t="s">
        <v>297</v>
      </c>
      <c r="L72">
        <v>1348</v>
      </c>
      <c r="N72">
        <v>1009</v>
      </c>
      <c r="O72" t="s">
        <v>41</v>
      </c>
      <c r="P72" t="s">
        <v>41</v>
      </c>
      <c r="Q72">
        <v>1000</v>
      </c>
      <c r="X72">
        <v>0.02</v>
      </c>
      <c r="Y72">
        <v>7712</v>
      </c>
      <c r="Z72">
        <v>0</v>
      </c>
      <c r="AA72">
        <v>0</v>
      </c>
      <c r="AB72">
        <v>0</v>
      </c>
      <c r="AC72">
        <v>0</v>
      </c>
      <c r="AD72">
        <v>1</v>
      </c>
      <c r="AE72">
        <v>0</v>
      </c>
      <c r="AG72">
        <v>0.02</v>
      </c>
      <c r="AH72">
        <v>2</v>
      </c>
      <c r="AI72">
        <v>55669057</v>
      </c>
      <c r="AJ72">
        <v>61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ht="12.75">
      <c r="A73">
        <f>ROW(Source!A42)</f>
        <v>42</v>
      </c>
      <c r="B73">
        <v>55669072</v>
      </c>
      <c r="C73">
        <v>55669050</v>
      </c>
      <c r="D73">
        <v>53661716</v>
      </c>
      <c r="E73">
        <v>1</v>
      </c>
      <c r="F73">
        <v>1</v>
      </c>
      <c r="G73">
        <v>1</v>
      </c>
      <c r="H73">
        <v>3</v>
      </c>
      <c r="I73" t="s">
        <v>298</v>
      </c>
      <c r="J73" t="s">
        <v>299</v>
      </c>
      <c r="K73" t="s">
        <v>300</v>
      </c>
      <c r="L73">
        <v>1302</v>
      </c>
      <c r="N73">
        <v>1003</v>
      </c>
      <c r="O73" t="s">
        <v>301</v>
      </c>
      <c r="P73" t="s">
        <v>301</v>
      </c>
      <c r="Q73">
        <v>10</v>
      </c>
      <c r="X73">
        <v>0.2</v>
      </c>
      <c r="Y73">
        <v>50.24</v>
      </c>
      <c r="Z73">
        <v>0</v>
      </c>
      <c r="AA73">
        <v>0</v>
      </c>
      <c r="AB73">
        <v>0</v>
      </c>
      <c r="AC73">
        <v>0</v>
      </c>
      <c r="AD73">
        <v>1</v>
      </c>
      <c r="AE73">
        <v>0</v>
      </c>
      <c r="AG73">
        <v>0.2</v>
      </c>
      <c r="AH73">
        <v>2</v>
      </c>
      <c r="AI73">
        <v>55669058</v>
      </c>
      <c r="AJ73">
        <v>62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</row>
    <row r="74" spans="1:44" ht="12.75">
      <c r="A74">
        <f>ROW(Source!A42)</f>
        <v>42</v>
      </c>
      <c r="B74">
        <v>55669073</v>
      </c>
      <c r="C74">
        <v>55669050</v>
      </c>
      <c r="D74">
        <v>53632492</v>
      </c>
      <c r="E74">
        <v>70</v>
      </c>
      <c r="F74">
        <v>1</v>
      </c>
      <c r="G74">
        <v>1</v>
      </c>
      <c r="H74">
        <v>3</v>
      </c>
      <c r="I74" t="s">
        <v>369</v>
      </c>
      <c r="K74" t="s">
        <v>370</v>
      </c>
      <c r="L74">
        <v>1348</v>
      </c>
      <c r="N74">
        <v>1009</v>
      </c>
      <c r="O74" t="s">
        <v>41</v>
      </c>
      <c r="P74" t="s">
        <v>41</v>
      </c>
      <c r="Q74">
        <v>1000</v>
      </c>
      <c r="X74">
        <v>0</v>
      </c>
      <c r="Y74">
        <v>0</v>
      </c>
      <c r="Z74">
        <v>0</v>
      </c>
      <c r="AA74">
        <v>0</v>
      </c>
      <c r="AB74">
        <v>0</v>
      </c>
      <c r="AC74">
        <v>1</v>
      </c>
      <c r="AD74">
        <v>0</v>
      </c>
      <c r="AE74">
        <v>0</v>
      </c>
      <c r="AG74">
        <v>0</v>
      </c>
      <c r="AH74">
        <v>3</v>
      </c>
      <c r="AI74">
        <v>-1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 ht="12.75">
      <c r="A75">
        <f>ROW(Source!A42)</f>
        <v>42</v>
      </c>
      <c r="B75">
        <v>55669074</v>
      </c>
      <c r="C75">
        <v>55669050</v>
      </c>
      <c r="D75">
        <v>53666055</v>
      </c>
      <c r="E75">
        <v>1</v>
      </c>
      <c r="F75">
        <v>1</v>
      </c>
      <c r="G75">
        <v>1</v>
      </c>
      <c r="H75">
        <v>3</v>
      </c>
      <c r="I75" t="s">
        <v>302</v>
      </c>
      <c r="J75" t="s">
        <v>303</v>
      </c>
      <c r="K75" t="s">
        <v>304</v>
      </c>
      <c r="L75">
        <v>1339</v>
      </c>
      <c r="N75">
        <v>1007</v>
      </c>
      <c r="O75" t="s">
        <v>305</v>
      </c>
      <c r="P75" t="s">
        <v>305</v>
      </c>
      <c r="Q75">
        <v>1</v>
      </c>
      <c r="X75">
        <v>0.04</v>
      </c>
      <c r="Y75">
        <v>1700</v>
      </c>
      <c r="Z75">
        <v>0</v>
      </c>
      <c r="AA75">
        <v>0</v>
      </c>
      <c r="AB75">
        <v>0</v>
      </c>
      <c r="AC75">
        <v>0</v>
      </c>
      <c r="AD75">
        <v>1</v>
      </c>
      <c r="AE75">
        <v>0</v>
      </c>
      <c r="AG75">
        <v>0.04</v>
      </c>
      <c r="AH75">
        <v>2</v>
      </c>
      <c r="AI75">
        <v>55669059</v>
      </c>
      <c r="AJ75">
        <v>63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ht="12.75">
      <c r="A76">
        <f>ROW(Source!A43)</f>
        <v>43</v>
      </c>
      <c r="B76">
        <v>55669062</v>
      </c>
      <c r="C76">
        <v>55669050</v>
      </c>
      <c r="D76">
        <v>53630123</v>
      </c>
      <c r="E76">
        <v>70</v>
      </c>
      <c r="F76">
        <v>1</v>
      </c>
      <c r="G76">
        <v>1</v>
      </c>
      <c r="H76">
        <v>1</v>
      </c>
      <c r="I76" t="s">
        <v>277</v>
      </c>
      <c r="K76" t="s">
        <v>278</v>
      </c>
      <c r="L76">
        <v>1191</v>
      </c>
      <c r="N76">
        <v>1013</v>
      </c>
      <c r="O76" t="s">
        <v>279</v>
      </c>
      <c r="P76" t="s">
        <v>279</v>
      </c>
      <c r="Q76">
        <v>1</v>
      </c>
      <c r="X76">
        <v>298</v>
      </c>
      <c r="Y76">
        <v>0</v>
      </c>
      <c r="Z76">
        <v>0</v>
      </c>
      <c r="AA76">
        <v>0</v>
      </c>
      <c r="AB76">
        <v>10.06</v>
      </c>
      <c r="AC76">
        <v>0</v>
      </c>
      <c r="AD76">
        <v>1</v>
      </c>
      <c r="AE76">
        <v>1</v>
      </c>
      <c r="AF76" t="s">
        <v>73</v>
      </c>
      <c r="AG76">
        <v>342.7</v>
      </c>
      <c r="AH76">
        <v>2</v>
      </c>
      <c r="AI76">
        <v>55669051</v>
      </c>
      <c r="AJ76">
        <v>66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ht="12.75">
      <c r="A77">
        <f>ROW(Source!A43)</f>
        <v>43</v>
      </c>
      <c r="B77">
        <v>55669063</v>
      </c>
      <c r="C77">
        <v>55669050</v>
      </c>
      <c r="D77">
        <v>53630257</v>
      </c>
      <c r="E77">
        <v>70</v>
      </c>
      <c r="F77">
        <v>1</v>
      </c>
      <c r="G77">
        <v>1</v>
      </c>
      <c r="H77">
        <v>1</v>
      </c>
      <c r="I77" t="s">
        <v>280</v>
      </c>
      <c r="K77" t="s">
        <v>281</v>
      </c>
      <c r="L77">
        <v>1191</v>
      </c>
      <c r="N77">
        <v>1013</v>
      </c>
      <c r="O77" t="s">
        <v>279</v>
      </c>
      <c r="P77" t="s">
        <v>279</v>
      </c>
      <c r="Q77">
        <v>1</v>
      </c>
      <c r="X77">
        <v>2.48</v>
      </c>
      <c r="Y77">
        <v>0</v>
      </c>
      <c r="Z77">
        <v>0</v>
      </c>
      <c r="AA77">
        <v>0</v>
      </c>
      <c r="AB77">
        <v>0</v>
      </c>
      <c r="AC77">
        <v>0</v>
      </c>
      <c r="AD77">
        <v>1</v>
      </c>
      <c r="AE77">
        <v>2</v>
      </c>
      <c r="AF77" t="s">
        <v>72</v>
      </c>
      <c r="AG77">
        <v>3.1</v>
      </c>
      <c r="AH77">
        <v>2</v>
      </c>
      <c r="AI77">
        <v>55669052</v>
      </c>
      <c r="AJ77">
        <v>67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ht="12.75">
      <c r="A78">
        <f>ROW(Source!A43)</f>
        <v>43</v>
      </c>
      <c r="B78">
        <v>55669064</v>
      </c>
      <c r="C78">
        <v>55669050</v>
      </c>
      <c r="D78">
        <v>53791997</v>
      </c>
      <c r="E78">
        <v>1</v>
      </c>
      <c r="F78">
        <v>1</v>
      </c>
      <c r="G78">
        <v>1</v>
      </c>
      <c r="H78">
        <v>2</v>
      </c>
      <c r="I78" t="s">
        <v>282</v>
      </c>
      <c r="J78" t="s">
        <v>283</v>
      </c>
      <c r="K78" t="s">
        <v>284</v>
      </c>
      <c r="L78">
        <v>1367</v>
      </c>
      <c r="N78">
        <v>1011</v>
      </c>
      <c r="O78" t="s">
        <v>285</v>
      </c>
      <c r="P78" t="s">
        <v>285</v>
      </c>
      <c r="Q78">
        <v>1</v>
      </c>
      <c r="X78">
        <v>2.2</v>
      </c>
      <c r="Y78">
        <v>0</v>
      </c>
      <c r="Z78">
        <v>115.4</v>
      </c>
      <c r="AA78">
        <v>13.5</v>
      </c>
      <c r="AB78">
        <v>0</v>
      </c>
      <c r="AC78">
        <v>0</v>
      </c>
      <c r="AD78">
        <v>1</v>
      </c>
      <c r="AE78">
        <v>0</v>
      </c>
      <c r="AF78" t="s">
        <v>72</v>
      </c>
      <c r="AG78">
        <v>2.75</v>
      </c>
      <c r="AH78">
        <v>2</v>
      </c>
      <c r="AI78">
        <v>55669053</v>
      </c>
      <c r="AJ78">
        <v>68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ht="12.75">
      <c r="A79">
        <f>ROW(Source!A43)</f>
        <v>43</v>
      </c>
      <c r="B79">
        <v>55669065</v>
      </c>
      <c r="C79">
        <v>55669050</v>
      </c>
      <c r="D79">
        <v>53792134</v>
      </c>
      <c r="E79">
        <v>1</v>
      </c>
      <c r="F79">
        <v>1</v>
      </c>
      <c r="G79">
        <v>1</v>
      </c>
      <c r="H79">
        <v>2</v>
      </c>
      <c r="I79" t="s">
        <v>286</v>
      </c>
      <c r="J79" t="s">
        <v>287</v>
      </c>
      <c r="K79" t="s">
        <v>288</v>
      </c>
      <c r="L79">
        <v>1367</v>
      </c>
      <c r="N79">
        <v>1011</v>
      </c>
      <c r="O79" t="s">
        <v>285</v>
      </c>
      <c r="P79" t="s">
        <v>285</v>
      </c>
      <c r="Q79">
        <v>1</v>
      </c>
      <c r="X79">
        <v>43.9</v>
      </c>
      <c r="Y79">
        <v>0</v>
      </c>
      <c r="Z79">
        <v>6.9</v>
      </c>
      <c r="AA79">
        <v>0</v>
      </c>
      <c r="AB79">
        <v>0</v>
      </c>
      <c r="AC79">
        <v>0</v>
      </c>
      <c r="AD79">
        <v>1</v>
      </c>
      <c r="AE79">
        <v>0</v>
      </c>
      <c r="AF79" t="s">
        <v>72</v>
      </c>
      <c r="AG79">
        <v>54.875</v>
      </c>
      <c r="AH79">
        <v>2</v>
      </c>
      <c r="AI79">
        <v>55669054</v>
      </c>
      <c r="AJ79">
        <v>69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ht="12.75">
      <c r="A80">
        <f>ROW(Source!A43)</f>
        <v>43</v>
      </c>
      <c r="B80">
        <v>55669066</v>
      </c>
      <c r="C80">
        <v>55669050</v>
      </c>
      <c r="D80">
        <v>53792927</v>
      </c>
      <c r="E80">
        <v>1</v>
      </c>
      <c r="F80">
        <v>1</v>
      </c>
      <c r="G80">
        <v>1</v>
      </c>
      <c r="H80">
        <v>2</v>
      </c>
      <c r="I80" t="s">
        <v>289</v>
      </c>
      <c r="J80" t="s">
        <v>290</v>
      </c>
      <c r="K80" t="s">
        <v>291</v>
      </c>
      <c r="L80">
        <v>1367</v>
      </c>
      <c r="N80">
        <v>1011</v>
      </c>
      <c r="O80" t="s">
        <v>285</v>
      </c>
      <c r="P80" t="s">
        <v>285</v>
      </c>
      <c r="Q80">
        <v>1</v>
      </c>
      <c r="X80">
        <v>0.28</v>
      </c>
      <c r="Y80">
        <v>0</v>
      </c>
      <c r="Z80">
        <v>65.71</v>
      </c>
      <c r="AA80">
        <v>11.6</v>
      </c>
      <c r="AB80">
        <v>0</v>
      </c>
      <c r="AC80">
        <v>0</v>
      </c>
      <c r="AD80">
        <v>1</v>
      </c>
      <c r="AE80">
        <v>0</v>
      </c>
      <c r="AF80" t="s">
        <v>72</v>
      </c>
      <c r="AG80">
        <v>0.35000000000000003</v>
      </c>
      <c r="AH80">
        <v>2</v>
      </c>
      <c r="AI80">
        <v>55669055</v>
      </c>
      <c r="AJ80">
        <v>70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ht="12.75">
      <c r="A81">
        <f>ROW(Source!A43)</f>
        <v>43</v>
      </c>
      <c r="B81">
        <v>55669067</v>
      </c>
      <c r="C81">
        <v>55669050</v>
      </c>
      <c r="D81">
        <v>53645866</v>
      </c>
      <c r="E81">
        <v>1</v>
      </c>
      <c r="F81">
        <v>1</v>
      </c>
      <c r="G81">
        <v>1</v>
      </c>
      <c r="H81">
        <v>3</v>
      </c>
      <c r="I81" t="s">
        <v>360</v>
      </c>
      <c r="J81" t="s">
        <v>361</v>
      </c>
      <c r="K81" t="s">
        <v>362</v>
      </c>
      <c r="L81">
        <v>1346</v>
      </c>
      <c r="N81">
        <v>1009</v>
      </c>
      <c r="O81" t="s">
        <v>340</v>
      </c>
      <c r="P81" t="s">
        <v>340</v>
      </c>
      <c r="Q81">
        <v>1</v>
      </c>
      <c r="X81">
        <v>0</v>
      </c>
      <c r="Y81">
        <v>28.26</v>
      </c>
      <c r="Z81">
        <v>0</v>
      </c>
      <c r="AA81">
        <v>0</v>
      </c>
      <c r="AB81">
        <v>0</v>
      </c>
      <c r="AC81">
        <v>1</v>
      </c>
      <c r="AD81">
        <v>0</v>
      </c>
      <c r="AE81">
        <v>0</v>
      </c>
      <c r="AG81">
        <v>0</v>
      </c>
      <c r="AH81">
        <v>3</v>
      </c>
      <c r="AI81">
        <v>-1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</row>
    <row r="82" spans="1:44" ht="12.75">
      <c r="A82">
        <f>ROW(Source!A43)</f>
        <v>43</v>
      </c>
      <c r="B82">
        <v>55669068</v>
      </c>
      <c r="C82">
        <v>55669050</v>
      </c>
      <c r="D82">
        <v>53646035</v>
      </c>
      <c r="E82">
        <v>1</v>
      </c>
      <c r="F82">
        <v>1</v>
      </c>
      <c r="G82">
        <v>1</v>
      </c>
      <c r="H82">
        <v>3</v>
      </c>
      <c r="I82" t="s">
        <v>292</v>
      </c>
      <c r="J82" t="s">
        <v>293</v>
      </c>
      <c r="K82" t="s">
        <v>294</v>
      </c>
      <c r="L82">
        <v>1348</v>
      </c>
      <c r="N82">
        <v>1009</v>
      </c>
      <c r="O82" t="s">
        <v>41</v>
      </c>
      <c r="P82" t="s">
        <v>41</v>
      </c>
      <c r="Q82">
        <v>1000</v>
      </c>
      <c r="X82">
        <v>0.00115</v>
      </c>
      <c r="Y82">
        <v>37900</v>
      </c>
      <c r="Z82">
        <v>0</v>
      </c>
      <c r="AA82">
        <v>0</v>
      </c>
      <c r="AB82">
        <v>0</v>
      </c>
      <c r="AC82">
        <v>0</v>
      </c>
      <c r="AD82">
        <v>1</v>
      </c>
      <c r="AE82">
        <v>0</v>
      </c>
      <c r="AG82">
        <v>0.00115</v>
      </c>
      <c r="AH82">
        <v>2</v>
      </c>
      <c r="AI82">
        <v>55669056</v>
      </c>
      <c r="AJ82">
        <v>71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</row>
    <row r="83" spans="1:44" ht="12.75">
      <c r="A83">
        <f>ROW(Source!A43)</f>
        <v>43</v>
      </c>
      <c r="B83">
        <v>55669069</v>
      </c>
      <c r="C83">
        <v>55669050</v>
      </c>
      <c r="D83">
        <v>53646160</v>
      </c>
      <c r="E83">
        <v>1</v>
      </c>
      <c r="F83">
        <v>1</v>
      </c>
      <c r="G83">
        <v>1</v>
      </c>
      <c r="H83">
        <v>3</v>
      </c>
      <c r="I83" t="s">
        <v>363</v>
      </c>
      <c r="J83" t="s">
        <v>364</v>
      </c>
      <c r="K83" t="s">
        <v>365</v>
      </c>
      <c r="L83">
        <v>1327</v>
      </c>
      <c r="N83">
        <v>1005</v>
      </c>
      <c r="O83" t="s">
        <v>81</v>
      </c>
      <c r="P83" t="s">
        <v>81</v>
      </c>
      <c r="Q83">
        <v>1</v>
      </c>
      <c r="X83">
        <v>0</v>
      </c>
      <c r="Y83">
        <v>52</v>
      </c>
      <c r="Z83">
        <v>0</v>
      </c>
      <c r="AA83">
        <v>0</v>
      </c>
      <c r="AB83">
        <v>0</v>
      </c>
      <c r="AC83">
        <v>1</v>
      </c>
      <c r="AD83">
        <v>0</v>
      </c>
      <c r="AE83">
        <v>0</v>
      </c>
      <c r="AG83">
        <v>0</v>
      </c>
      <c r="AH83">
        <v>3</v>
      </c>
      <c r="AI83">
        <v>-1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</row>
    <row r="84" spans="1:44" ht="12.75">
      <c r="A84">
        <f>ROW(Source!A43)</f>
        <v>43</v>
      </c>
      <c r="B84">
        <v>55669070</v>
      </c>
      <c r="C84">
        <v>55669050</v>
      </c>
      <c r="D84">
        <v>53646246</v>
      </c>
      <c r="E84">
        <v>1</v>
      </c>
      <c r="F84">
        <v>1</v>
      </c>
      <c r="G84">
        <v>1</v>
      </c>
      <c r="H84">
        <v>3</v>
      </c>
      <c r="I84" t="s">
        <v>366</v>
      </c>
      <c r="J84" t="s">
        <v>367</v>
      </c>
      <c r="K84" t="s">
        <v>368</v>
      </c>
      <c r="L84">
        <v>1327</v>
      </c>
      <c r="N84">
        <v>1005</v>
      </c>
      <c r="O84" t="s">
        <v>81</v>
      </c>
      <c r="P84" t="s">
        <v>81</v>
      </c>
      <c r="Q84">
        <v>1</v>
      </c>
      <c r="X84">
        <v>0</v>
      </c>
      <c r="Y84">
        <v>350</v>
      </c>
      <c r="Z84">
        <v>0</v>
      </c>
      <c r="AA84">
        <v>0</v>
      </c>
      <c r="AB84">
        <v>0</v>
      </c>
      <c r="AC84">
        <v>1</v>
      </c>
      <c r="AD84">
        <v>0</v>
      </c>
      <c r="AE84">
        <v>0</v>
      </c>
      <c r="AG84">
        <v>0</v>
      </c>
      <c r="AH84">
        <v>3</v>
      </c>
      <c r="AI84">
        <v>-1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</row>
    <row r="85" spans="1:44" ht="12.75">
      <c r="A85">
        <f>ROW(Source!A43)</f>
        <v>43</v>
      </c>
      <c r="B85">
        <v>55669071</v>
      </c>
      <c r="C85">
        <v>55669050</v>
      </c>
      <c r="D85">
        <v>53659617</v>
      </c>
      <c r="E85">
        <v>1</v>
      </c>
      <c r="F85">
        <v>1</v>
      </c>
      <c r="G85">
        <v>1</v>
      </c>
      <c r="H85">
        <v>3</v>
      </c>
      <c r="I85" t="s">
        <v>295</v>
      </c>
      <c r="J85" t="s">
        <v>296</v>
      </c>
      <c r="K85" t="s">
        <v>297</v>
      </c>
      <c r="L85">
        <v>1348</v>
      </c>
      <c r="N85">
        <v>1009</v>
      </c>
      <c r="O85" t="s">
        <v>41</v>
      </c>
      <c r="P85" t="s">
        <v>41</v>
      </c>
      <c r="Q85">
        <v>1000</v>
      </c>
      <c r="X85">
        <v>0.02</v>
      </c>
      <c r="Y85">
        <v>7712</v>
      </c>
      <c r="Z85">
        <v>0</v>
      </c>
      <c r="AA85">
        <v>0</v>
      </c>
      <c r="AB85">
        <v>0</v>
      </c>
      <c r="AC85">
        <v>0</v>
      </c>
      <c r="AD85">
        <v>1</v>
      </c>
      <c r="AE85">
        <v>0</v>
      </c>
      <c r="AG85">
        <v>0.02</v>
      </c>
      <c r="AH85">
        <v>2</v>
      </c>
      <c r="AI85">
        <v>55669057</v>
      </c>
      <c r="AJ85">
        <v>72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</row>
    <row r="86" spans="1:44" ht="12.75">
      <c r="A86">
        <f>ROW(Source!A43)</f>
        <v>43</v>
      </c>
      <c r="B86">
        <v>55669072</v>
      </c>
      <c r="C86">
        <v>55669050</v>
      </c>
      <c r="D86">
        <v>53661716</v>
      </c>
      <c r="E86">
        <v>1</v>
      </c>
      <c r="F86">
        <v>1</v>
      </c>
      <c r="G86">
        <v>1</v>
      </c>
      <c r="H86">
        <v>3</v>
      </c>
      <c r="I86" t="s">
        <v>298</v>
      </c>
      <c r="J86" t="s">
        <v>299</v>
      </c>
      <c r="K86" t="s">
        <v>300</v>
      </c>
      <c r="L86">
        <v>1302</v>
      </c>
      <c r="N86">
        <v>1003</v>
      </c>
      <c r="O86" t="s">
        <v>301</v>
      </c>
      <c r="P86" t="s">
        <v>301</v>
      </c>
      <c r="Q86">
        <v>10</v>
      </c>
      <c r="X86">
        <v>0.2</v>
      </c>
      <c r="Y86">
        <v>50.24</v>
      </c>
      <c r="Z86">
        <v>0</v>
      </c>
      <c r="AA86">
        <v>0</v>
      </c>
      <c r="AB86">
        <v>0</v>
      </c>
      <c r="AC86">
        <v>0</v>
      </c>
      <c r="AD86">
        <v>1</v>
      </c>
      <c r="AE86">
        <v>0</v>
      </c>
      <c r="AG86">
        <v>0.2</v>
      </c>
      <c r="AH86">
        <v>2</v>
      </c>
      <c r="AI86">
        <v>55669058</v>
      </c>
      <c r="AJ86">
        <v>73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</row>
    <row r="87" spans="1:44" ht="12.75">
      <c r="A87">
        <f>ROW(Source!A43)</f>
        <v>43</v>
      </c>
      <c r="B87">
        <v>55669073</v>
      </c>
      <c r="C87">
        <v>55669050</v>
      </c>
      <c r="D87">
        <v>53632492</v>
      </c>
      <c r="E87">
        <v>70</v>
      </c>
      <c r="F87">
        <v>1</v>
      </c>
      <c r="G87">
        <v>1</v>
      </c>
      <c r="H87">
        <v>3</v>
      </c>
      <c r="I87" t="s">
        <v>369</v>
      </c>
      <c r="K87" t="s">
        <v>370</v>
      </c>
      <c r="L87">
        <v>1348</v>
      </c>
      <c r="N87">
        <v>1009</v>
      </c>
      <c r="O87" t="s">
        <v>41</v>
      </c>
      <c r="P87" t="s">
        <v>41</v>
      </c>
      <c r="Q87">
        <v>1000</v>
      </c>
      <c r="X87">
        <v>0</v>
      </c>
      <c r="Y87">
        <v>0</v>
      </c>
      <c r="Z87">
        <v>0</v>
      </c>
      <c r="AA87">
        <v>0</v>
      </c>
      <c r="AB87">
        <v>0</v>
      </c>
      <c r="AC87">
        <v>1</v>
      </c>
      <c r="AD87">
        <v>0</v>
      </c>
      <c r="AE87">
        <v>0</v>
      </c>
      <c r="AG87">
        <v>0</v>
      </c>
      <c r="AH87">
        <v>3</v>
      </c>
      <c r="AI87">
        <v>-1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ht="12.75">
      <c r="A88">
        <f>ROW(Source!A43)</f>
        <v>43</v>
      </c>
      <c r="B88">
        <v>55669074</v>
      </c>
      <c r="C88">
        <v>55669050</v>
      </c>
      <c r="D88">
        <v>53666055</v>
      </c>
      <c r="E88">
        <v>1</v>
      </c>
      <c r="F88">
        <v>1</v>
      </c>
      <c r="G88">
        <v>1</v>
      </c>
      <c r="H88">
        <v>3</v>
      </c>
      <c r="I88" t="s">
        <v>302</v>
      </c>
      <c r="J88" t="s">
        <v>303</v>
      </c>
      <c r="K88" t="s">
        <v>304</v>
      </c>
      <c r="L88">
        <v>1339</v>
      </c>
      <c r="N88">
        <v>1007</v>
      </c>
      <c r="O88" t="s">
        <v>305</v>
      </c>
      <c r="P88" t="s">
        <v>305</v>
      </c>
      <c r="Q88">
        <v>1</v>
      </c>
      <c r="X88">
        <v>0.04</v>
      </c>
      <c r="Y88">
        <v>1700</v>
      </c>
      <c r="Z88">
        <v>0</v>
      </c>
      <c r="AA88">
        <v>0</v>
      </c>
      <c r="AB88">
        <v>0</v>
      </c>
      <c r="AC88">
        <v>0</v>
      </c>
      <c r="AD88">
        <v>1</v>
      </c>
      <c r="AE88">
        <v>0</v>
      </c>
      <c r="AG88">
        <v>0.04</v>
      </c>
      <c r="AH88">
        <v>2</v>
      </c>
      <c r="AI88">
        <v>55669059</v>
      </c>
      <c r="AJ88">
        <v>74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ht="12.75">
      <c r="A89">
        <f>ROW(Source!A48)</f>
        <v>48</v>
      </c>
      <c r="B89">
        <v>55669081</v>
      </c>
      <c r="C89">
        <v>55669077</v>
      </c>
      <c r="D89">
        <v>53630083</v>
      </c>
      <c r="E89">
        <v>70</v>
      </c>
      <c r="F89">
        <v>1</v>
      </c>
      <c r="G89">
        <v>1</v>
      </c>
      <c r="H89">
        <v>1</v>
      </c>
      <c r="I89" t="s">
        <v>316</v>
      </c>
      <c r="K89" t="s">
        <v>317</v>
      </c>
      <c r="L89">
        <v>1191</v>
      </c>
      <c r="N89">
        <v>1013</v>
      </c>
      <c r="O89" t="s">
        <v>279</v>
      </c>
      <c r="P89" t="s">
        <v>279</v>
      </c>
      <c r="Q89">
        <v>1</v>
      </c>
      <c r="X89">
        <v>33.1</v>
      </c>
      <c r="Y89">
        <v>0</v>
      </c>
      <c r="Z89">
        <v>0</v>
      </c>
      <c r="AA89">
        <v>0</v>
      </c>
      <c r="AB89">
        <v>9.07</v>
      </c>
      <c r="AC89">
        <v>0</v>
      </c>
      <c r="AD89">
        <v>1</v>
      </c>
      <c r="AE89">
        <v>1</v>
      </c>
      <c r="AF89" t="s">
        <v>73</v>
      </c>
      <c r="AG89">
        <v>38.065</v>
      </c>
      <c r="AH89">
        <v>2</v>
      </c>
      <c r="AI89">
        <v>55669078</v>
      </c>
      <c r="AJ89">
        <v>77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ht="12.75">
      <c r="A90">
        <f>ROW(Source!A48)</f>
        <v>48</v>
      </c>
      <c r="B90">
        <v>55669082</v>
      </c>
      <c r="C90">
        <v>55669077</v>
      </c>
      <c r="D90">
        <v>53644879</v>
      </c>
      <c r="E90">
        <v>1</v>
      </c>
      <c r="F90">
        <v>1</v>
      </c>
      <c r="G90">
        <v>1</v>
      </c>
      <c r="H90">
        <v>3</v>
      </c>
      <c r="I90" t="s">
        <v>318</v>
      </c>
      <c r="J90" t="s">
        <v>319</v>
      </c>
      <c r="K90" t="s">
        <v>320</v>
      </c>
      <c r="L90">
        <v>1348</v>
      </c>
      <c r="N90">
        <v>1009</v>
      </c>
      <c r="O90" t="s">
        <v>41</v>
      </c>
      <c r="P90" t="s">
        <v>41</v>
      </c>
      <c r="Q90">
        <v>1000</v>
      </c>
      <c r="X90">
        <v>0.006</v>
      </c>
      <c r="Y90">
        <v>22954.57</v>
      </c>
      <c r="Z90">
        <v>0</v>
      </c>
      <c r="AA90">
        <v>0</v>
      </c>
      <c r="AB90">
        <v>0</v>
      </c>
      <c r="AC90">
        <v>0</v>
      </c>
      <c r="AD90">
        <v>1</v>
      </c>
      <c r="AE90">
        <v>0</v>
      </c>
      <c r="AG90">
        <v>0.006</v>
      </c>
      <c r="AH90">
        <v>2</v>
      </c>
      <c r="AI90">
        <v>55669079</v>
      </c>
      <c r="AJ90">
        <v>78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ht="12.75">
      <c r="A91">
        <f>ROW(Source!A48)</f>
        <v>48</v>
      </c>
      <c r="B91">
        <v>55669083</v>
      </c>
      <c r="C91">
        <v>55669077</v>
      </c>
      <c r="D91">
        <v>53632503</v>
      </c>
      <c r="E91">
        <v>70</v>
      </c>
      <c r="F91">
        <v>1</v>
      </c>
      <c r="G91">
        <v>1</v>
      </c>
      <c r="H91">
        <v>3</v>
      </c>
      <c r="I91" t="s">
        <v>374</v>
      </c>
      <c r="K91" t="s">
        <v>375</v>
      </c>
      <c r="L91">
        <v>1348</v>
      </c>
      <c r="N91">
        <v>1009</v>
      </c>
      <c r="O91" t="s">
        <v>41</v>
      </c>
      <c r="P91" t="s">
        <v>41</v>
      </c>
      <c r="Q91">
        <v>1000</v>
      </c>
      <c r="X91">
        <v>0</v>
      </c>
      <c r="Y91">
        <v>0</v>
      </c>
      <c r="Z91">
        <v>0</v>
      </c>
      <c r="AA91">
        <v>0</v>
      </c>
      <c r="AB91">
        <v>0</v>
      </c>
      <c r="AC91">
        <v>1</v>
      </c>
      <c r="AD91">
        <v>0</v>
      </c>
      <c r="AE91">
        <v>0</v>
      </c>
      <c r="AG91">
        <v>0</v>
      </c>
      <c r="AH91">
        <v>3</v>
      </c>
      <c r="AI91">
        <v>-1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</row>
    <row r="92" spans="1:44" ht="12.75">
      <c r="A92">
        <f>ROW(Source!A49)</f>
        <v>49</v>
      </c>
      <c r="B92">
        <v>55669081</v>
      </c>
      <c r="C92">
        <v>55669077</v>
      </c>
      <c r="D92">
        <v>53630083</v>
      </c>
      <c r="E92">
        <v>70</v>
      </c>
      <c r="F92">
        <v>1</v>
      </c>
      <c r="G92">
        <v>1</v>
      </c>
      <c r="H92">
        <v>1</v>
      </c>
      <c r="I92" t="s">
        <v>316</v>
      </c>
      <c r="K92" t="s">
        <v>317</v>
      </c>
      <c r="L92">
        <v>1191</v>
      </c>
      <c r="N92">
        <v>1013</v>
      </c>
      <c r="O92" t="s">
        <v>279</v>
      </c>
      <c r="P92" t="s">
        <v>279</v>
      </c>
      <c r="Q92">
        <v>1</v>
      </c>
      <c r="X92">
        <v>33.1</v>
      </c>
      <c r="Y92">
        <v>0</v>
      </c>
      <c r="Z92">
        <v>0</v>
      </c>
      <c r="AA92">
        <v>0</v>
      </c>
      <c r="AB92">
        <v>9.07</v>
      </c>
      <c r="AC92">
        <v>0</v>
      </c>
      <c r="AD92">
        <v>1</v>
      </c>
      <c r="AE92">
        <v>1</v>
      </c>
      <c r="AF92" t="s">
        <v>73</v>
      </c>
      <c r="AG92">
        <v>38.065</v>
      </c>
      <c r="AH92">
        <v>2</v>
      </c>
      <c r="AI92">
        <v>55669078</v>
      </c>
      <c r="AJ92">
        <v>80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</row>
    <row r="93" spans="1:44" ht="12.75">
      <c r="A93">
        <f>ROW(Source!A49)</f>
        <v>49</v>
      </c>
      <c r="B93">
        <v>55669082</v>
      </c>
      <c r="C93">
        <v>55669077</v>
      </c>
      <c r="D93">
        <v>53644879</v>
      </c>
      <c r="E93">
        <v>1</v>
      </c>
      <c r="F93">
        <v>1</v>
      </c>
      <c r="G93">
        <v>1</v>
      </c>
      <c r="H93">
        <v>3</v>
      </c>
      <c r="I93" t="s">
        <v>318</v>
      </c>
      <c r="J93" t="s">
        <v>319</v>
      </c>
      <c r="K93" t="s">
        <v>320</v>
      </c>
      <c r="L93">
        <v>1348</v>
      </c>
      <c r="N93">
        <v>1009</v>
      </c>
      <c r="O93" t="s">
        <v>41</v>
      </c>
      <c r="P93" t="s">
        <v>41</v>
      </c>
      <c r="Q93">
        <v>1000</v>
      </c>
      <c r="X93">
        <v>0.006</v>
      </c>
      <c r="Y93">
        <v>22954.57</v>
      </c>
      <c r="Z93">
        <v>0</v>
      </c>
      <c r="AA93">
        <v>0</v>
      </c>
      <c r="AB93">
        <v>0</v>
      </c>
      <c r="AC93">
        <v>0</v>
      </c>
      <c r="AD93">
        <v>1</v>
      </c>
      <c r="AE93">
        <v>0</v>
      </c>
      <c r="AG93">
        <v>0.006</v>
      </c>
      <c r="AH93">
        <v>2</v>
      </c>
      <c r="AI93">
        <v>55669079</v>
      </c>
      <c r="AJ93">
        <v>81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</row>
    <row r="94" spans="1:44" ht="12.75">
      <c r="A94">
        <f>ROW(Source!A49)</f>
        <v>49</v>
      </c>
      <c r="B94">
        <v>55669083</v>
      </c>
      <c r="C94">
        <v>55669077</v>
      </c>
      <c r="D94">
        <v>53632503</v>
      </c>
      <c r="E94">
        <v>70</v>
      </c>
      <c r="F94">
        <v>1</v>
      </c>
      <c r="G94">
        <v>1</v>
      </c>
      <c r="H94">
        <v>3</v>
      </c>
      <c r="I94" t="s">
        <v>374</v>
      </c>
      <c r="K94" t="s">
        <v>375</v>
      </c>
      <c r="L94">
        <v>1348</v>
      </c>
      <c r="N94">
        <v>1009</v>
      </c>
      <c r="O94" t="s">
        <v>41</v>
      </c>
      <c r="P94" t="s">
        <v>41</v>
      </c>
      <c r="Q94">
        <v>1000</v>
      </c>
      <c r="X94">
        <v>0</v>
      </c>
      <c r="Y94">
        <v>0</v>
      </c>
      <c r="Z94">
        <v>0</v>
      </c>
      <c r="AA94">
        <v>0</v>
      </c>
      <c r="AB94">
        <v>0</v>
      </c>
      <c r="AC94">
        <v>1</v>
      </c>
      <c r="AD94">
        <v>0</v>
      </c>
      <c r="AE94">
        <v>0</v>
      </c>
      <c r="AG94">
        <v>0</v>
      </c>
      <c r="AH94">
        <v>3</v>
      </c>
      <c r="AI94">
        <v>-1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</row>
    <row r="95" spans="1:44" ht="12.75">
      <c r="A95">
        <f>ROW(Source!A52)</f>
        <v>52</v>
      </c>
      <c r="B95">
        <v>55669116</v>
      </c>
      <c r="C95">
        <v>55669112</v>
      </c>
      <c r="D95">
        <v>53630067</v>
      </c>
      <c r="E95">
        <v>70</v>
      </c>
      <c r="F95">
        <v>1</v>
      </c>
      <c r="G95">
        <v>1</v>
      </c>
      <c r="H95">
        <v>1</v>
      </c>
      <c r="I95" t="s">
        <v>321</v>
      </c>
      <c r="K95" t="s">
        <v>322</v>
      </c>
      <c r="L95">
        <v>1191</v>
      </c>
      <c r="N95">
        <v>1013</v>
      </c>
      <c r="O95" t="s">
        <v>279</v>
      </c>
      <c r="P95" t="s">
        <v>279</v>
      </c>
      <c r="Q95">
        <v>1</v>
      </c>
      <c r="X95">
        <v>16.64</v>
      </c>
      <c r="Y95">
        <v>0</v>
      </c>
      <c r="Z95">
        <v>0</v>
      </c>
      <c r="AA95">
        <v>0</v>
      </c>
      <c r="AB95">
        <v>8.53</v>
      </c>
      <c r="AC95">
        <v>0</v>
      </c>
      <c r="AD95">
        <v>1</v>
      </c>
      <c r="AE95">
        <v>1</v>
      </c>
      <c r="AF95" t="s">
        <v>73</v>
      </c>
      <c r="AG95">
        <v>19.136</v>
      </c>
      <c r="AH95">
        <v>2</v>
      </c>
      <c r="AI95">
        <v>55669113</v>
      </c>
      <c r="AJ95">
        <v>83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</row>
    <row r="96" spans="1:44" ht="12.75">
      <c r="A96">
        <f>ROW(Source!A52)</f>
        <v>52</v>
      </c>
      <c r="B96">
        <v>55669117</v>
      </c>
      <c r="C96">
        <v>55669112</v>
      </c>
      <c r="D96">
        <v>53644872</v>
      </c>
      <c r="E96">
        <v>1</v>
      </c>
      <c r="F96">
        <v>1</v>
      </c>
      <c r="G96">
        <v>1</v>
      </c>
      <c r="H96">
        <v>3</v>
      </c>
      <c r="I96" t="s">
        <v>323</v>
      </c>
      <c r="J96" t="s">
        <v>324</v>
      </c>
      <c r="K96" t="s">
        <v>325</v>
      </c>
      <c r="L96">
        <v>1425</v>
      </c>
      <c r="N96">
        <v>1013</v>
      </c>
      <c r="O96" t="s">
        <v>125</v>
      </c>
      <c r="P96" t="s">
        <v>125</v>
      </c>
      <c r="Q96">
        <v>1</v>
      </c>
      <c r="X96">
        <v>6.7</v>
      </c>
      <c r="Y96">
        <v>12</v>
      </c>
      <c r="Z96">
        <v>0</v>
      </c>
      <c r="AA96">
        <v>0</v>
      </c>
      <c r="AB96">
        <v>0</v>
      </c>
      <c r="AC96">
        <v>0</v>
      </c>
      <c r="AD96">
        <v>1</v>
      </c>
      <c r="AE96">
        <v>0</v>
      </c>
      <c r="AG96">
        <v>6.7</v>
      </c>
      <c r="AH96">
        <v>2</v>
      </c>
      <c r="AI96">
        <v>55669114</v>
      </c>
      <c r="AJ96">
        <v>84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</row>
    <row r="97" spans="1:44" ht="12.75">
      <c r="A97">
        <f>ROW(Source!A52)</f>
        <v>52</v>
      </c>
      <c r="B97">
        <v>55669118</v>
      </c>
      <c r="C97">
        <v>55669112</v>
      </c>
      <c r="D97">
        <v>53632462</v>
      </c>
      <c r="E97">
        <v>70</v>
      </c>
      <c r="F97">
        <v>1</v>
      </c>
      <c r="G97">
        <v>1</v>
      </c>
      <c r="H97">
        <v>3</v>
      </c>
      <c r="I97" t="s">
        <v>376</v>
      </c>
      <c r="K97" t="s">
        <v>377</v>
      </c>
      <c r="L97">
        <v>1301</v>
      </c>
      <c r="N97">
        <v>1003</v>
      </c>
      <c r="O97" t="s">
        <v>93</v>
      </c>
      <c r="P97" t="s">
        <v>93</v>
      </c>
      <c r="Q97">
        <v>1</v>
      </c>
      <c r="X97">
        <v>105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G97">
        <v>105</v>
      </c>
      <c r="AH97">
        <v>3</v>
      </c>
      <c r="AI97">
        <v>-1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</row>
    <row r="98" spans="1:44" ht="12.75">
      <c r="A98">
        <f>ROW(Source!A53)</f>
        <v>53</v>
      </c>
      <c r="B98">
        <v>55669116</v>
      </c>
      <c r="C98">
        <v>55669112</v>
      </c>
      <c r="D98">
        <v>53630067</v>
      </c>
      <c r="E98">
        <v>70</v>
      </c>
      <c r="F98">
        <v>1</v>
      </c>
      <c r="G98">
        <v>1</v>
      </c>
      <c r="H98">
        <v>1</v>
      </c>
      <c r="I98" t="s">
        <v>321</v>
      </c>
      <c r="K98" t="s">
        <v>322</v>
      </c>
      <c r="L98">
        <v>1191</v>
      </c>
      <c r="N98">
        <v>1013</v>
      </c>
      <c r="O98" t="s">
        <v>279</v>
      </c>
      <c r="P98" t="s">
        <v>279</v>
      </c>
      <c r="Q98">
        <v>1</v>
      </c>
      <c r="X98">
        <v>16.64</v>
      </c>
      <c r="Y98">
        <v>0</v>
      </c>
      <c r="Z98">
        <v>0</v>
      </c>
      <c r="AA98">
        <v>0</v>
      </c>
      <c r="AB98">
        <v>8.53</v>
      </c>
      <c r="AC98">
        <v>0</v>
      </c>
      <c r="AD98">
        <v>1</v>
      </c>
      <c r="AE98">
        <v>1</v>
      </c>
      <c r="AF98" t="s">
        <v>73</v>
      </c>
      <c r="AG98">
        <v>19.136</v>
      </c>
      <c r="AH98">
        <v>2</v>
      </c>
      <c r="AI98">
        <v>55669113</v>
      </c>
      <c r="AJ98">
        <v>86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 ht="12.75">
      <c r="A99">
        <f>ROW(Source!A53)</f>
        <v>53</v>
      </c>
      <c r="B99">
        <v>55669117</v>
      </c>
      <c r="C99">
        <v>55669112</v>
      </c>
      <c r="D99">
        <v>53644872</v>
      </c>
      <c r="E99">
        <v>1</v>
      </c>
      <c r="F99">
        <v>1</v>
      </c>
      <c r="G99">
        <v>1</v>
      </c>
      <c r="H99">
        <v>3</v>
      </c>
      <c r="I99" t="s">
        <v>323</v>
      </c>
      <c r="J99" t="s">
        <v>324</v>
      </c>
      <c r="K99" t="s">
        <v>325</v>
      </c>
      <c r="L99">
        <v>1425</v>
      </c>
      <c r="N99">
        <v>1013</v>
      </c>
      <c r="O99" t="s">
        <v>125</v>
      </c>
      <c r="P99" t="s">
        <v>125</v>
      </c>
      <c r="Q99">
        <v>1</v>
      </c>
      <c r="X99">
        <v>6.7</v>
      </c>
      <c r="Y99">
        <v>12</v>
      </c>
      <c r="Z99">
        <v>0</v>
      </c>
      <c r="AA99">
        <v>0</v>
      </c>
      <c r="AB99">
        <v>0</v>
      </c>
      <c r="AC99">
        <v>0</v>
      </c>
      <c r="AD99">
        <v>1</v>
      </c>
      <c r="AE99">
        <v>0</v>
      </c>
      <c r="AG99">
        <v>6.7</v>
      </c>
      <c r="AH99">
        <v>2</v>
      </c>
      <c r="AI99">
        <v>55669114</v>
      </c>
      <c r="AJ99">
        <v>87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4" ht="12.75">
      <c r="A100">
        <f>ROW(Source!A53)</f>
        <v>53</v>
      </c>
      <c r="B100">
        <v>55669118</v>
      </c>
      <c r="C100">
        <v>55669112</v>
      </c>
      <c r="D100">
        <v>53632462</v>
      </c>
      <c r="E100">
        <v>70</v>
      </c>
      <c r="F100">
        <v>1</v>
      </c>
      <c r="G100">
        <v>1</v>
      </c>
      <c r="H100">
        <v>3</v>
      </c>
      <c r="I100" t="s">
        <v>376</v>
      </c>
      <c r="K100" t="s">
        <v>377</v>
      </c>
      <c r="L100">
        <v>1301</v>
      </c>
      <c r="N100">
        <v>1003</v>
      </c>
      <c r="O100" t="s">
        <v>93</v>
      </c>
      <c r="P100" t="s">
        <v>93</v>
      </c>
      <c r="Q100">
        <v>1</v>
      </c>
      <c r="X100">
        <v>105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G100">
        <v>105</v>
      </c>
      <c r="AH100">
        <v>3</v>
      </c>
      <c r="AI100">
        <v>-1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</row>
    <row r="101" spans="1:44" ht="12.75">
      <c r="A101">
        <f>ROW(Source!A56)</f>
        <v>56</v>
      </c>
      <c r="B101">
        <v>55669132</v>
      </c>
      <c r="C101">
        <v>55669120</v>
      </c>
      <c r="D101">
        <v>53630101</v>
      </c>
      <c r="E101">
        <v>70</v>
      </c>
      <c r="F101">
        <v>1</v>
      </c>
      <c r="G101">
        <v>1</v>
      </c>
      <c r="H101">
        <v>1</v>
      </c>
      <c r="I101" t="s">
        <v>326</v>
      </c>
      <c r="K101" t="s">
        <v>327</v>
      </c>
      <c r="L101">
        <v>1191</v>
      </c>
      <c r="N101">
        <v>1013</v>
      </c>
      <c r="O101" t="s">
        <v>279</v>
      </c>
      <c r="P101" t="s">
        <v>279</v>
      </c>
      <c r="Q101">
        <v>1</v>
      </c>
      <c r="X101">
        <v>80.1</v>
      </c>
      <c r="Y101">
        <v>0</v>
      </c>
      <c r="Z101">
        <v>0</v>
      </c>
      <c r="AA101">
        <v>0</v>
      </c>
      <c r="AB101">
        <v>9.4</v>
      </c>
      <c r="AC101">
        <v>0</v>
      </c>
      <c r="AD101">
        <v>1</v>
      </c>
      <c r="AE101">
        <v>1</v>
      </c>
      <c r="AF101" t="s">
        <v>73</v>
      </c>
      <c r="AG101">
        <v>92.11499999999998</v>
      </c>
      <c r="AH101">
        <v>2</v>
      </c>
      <c r="AI101">
        <v>55669121</v>
      </c>
      <c r="AJ101">
        <v>89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</row>
    <row r="102" spans="1:44" ht="12.75">
      <c r="A102">
        <f>ROW(Source!A56)</f>
        <v>56</v>
      </c>
      <c r="B102">
        <v>55669133</v>
      </c>
      <c r="C102">
        <v>55669120</v>
      </c>
      <c r="D102">
        <v>53630257</v>
      </c>
      <c r="E102">
        <v>70</v>
      </c>
      <c r="F102">
        <v>1</v>
      </c>
      <c r="G102">
        <v>1</v>
      </c>
      <c r="H102">
        <v>1</v>
      </c>
      <c r="I102" t="s">
        <v>280</v>
      </c>
      <c r="K102" t="s">
        <v>281</v>
      </c>
      <c r="L102">
        <v>1191</v>
      </c>
      <c r="N102">
        <v>1013</v>
      </c>
      <c r="O102" t="s">
        <v>279</v>
      </c>
      <c r="P102" t="s">
        <v>279</v>
      </c>
      <c r="Q102">
        <v>1</v>
      </c>
      <c r="X102">
        <v>10.24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1</v>
      </c>
      <c r="AE102">
        <v>2</v>
      </c>
      <c r="AF102" t="s">
        <v>72</v>
      </c>
      <c r="AG102">
        <v>12.8</v>
      </c>
      <c r="AH102">
        <v>2</v>
      </c>
      <c r="AI102">
        <v>55669122</v>
      </c>
      <c r="AJ102">
        <v>90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</row>
    <row r="103" spans="1:44" ht="12.75">
      <c r="A103">
        <f>ROW(Source!A56)</f>
        <v>56</v>
      </c>
      <c r="B103">
        <v>55669134</v>
      </c>
      <c r="C103">
        <v>55669120</v>
      </c>
      <c r="D103">
        <v>53791939</v>
      </c>
      <c r="E103">
        <v>1</v>
      </c>
      <c r="F103">
        <v>1</v>
      </c>
      <c r="G103">
        <v>1</v>
      </c>
      <c r="H103">
        <v>2</v>
      </c>
      <c r="I103" t="s">
        <v>328</v>
      </c>
      <c r="J103" t="s">
        <v>329</v>
      </c>
      <c r="K103" t="s">
        <v>330</v>
      </c>
      <c r="L103">
        <v>1367</v>
      </c>
      <c r="N103">
        <v>1011</v>
      </c>
      <c r="O103" t="s">
        <v>285</v>
      </c>
      <c r="P103" t="s">
        <v>285</v>
      </c>
      <c r="Q103">
        <v>1</v>
      </c>
      <c r="X103">
        <v>7.08</v>
      </c>
      <c r="Y103">
        <v>0</v>
      </c>
      <c r="Z103">
        <v>86.4</v>
      </c>
      <c r="AA103">
        <v>13.5</v>
      </c>
      <c r="AB103">
        <v>0</v>
      </c>
      <c r="AC103">
        <v>0</v>
      </c>
      <c r="AD103">
        <v>1</v>
      </c>
      <c r="AE103">
        <v>0</v>
      </c>
      <c r="AF103" t="s">
        <v>72</v>
      </c>
      <c r="AG103">
        <v>8.85</v>
      </c>
      <c r="AH103">
        <v>2</v>
      </c>
      <c r="AI103">
        <v>55669123</v>
      </c>
      <c r="AJ103">
        <v>91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</row>
    <row r="104" spans="1:44" ht="12.75">
      <c r="A104">
        <f>ROW(Source!A56)</f>
        <v>56</v>
      </c>
      <c r="B104">
        <v>55669135</v>
      </c>
      <c r="C104">
        <v>55669120</v>
      </c>
      <c r="D104">
        <v>53791997</v>
      </c>
      <c r="E104">
        <v>1</v>
      </c>
      <c r="F104">
        <v>1</v>
      </c>
      <c r="G104">
        <v>1</v>
      </c>
      <c r="H104">
        <v>2</v>
      </c>
      <c r="I104" t="s">
        <v>282</v>
      </c>
      <c r="J104" t="s">
        <v>283</v>
      </c>
      <c r="K104" t="s">
        <v>284</v>
      </c>
      <c r="L104">
        <v>1367</v>
      </c>
      <c r="N104">
        <v>1011</v>
      </c>
      <c r="O104" t="s">
        <v>285</v>
      </c>
      <c r="P104" t="s">
        <v>285</v>
      </c>
      <c r="Q104">
        <v>1</v>
      </c>
      <c r="X104">
        <v>1.26</v>
      </c>
      <c r="Y104">
        <v>0</v>
      </c>
      <c r="Z104">
        <v>115.4</v>
      </c>
      <c r="AA104">
        <v>13.5</v>
      </c>
      <c r="AB104">
        <v>0</v>
      </c>
      <c r="AC104">
        <v>0</v>
      </c>
      <c r="AD104">
        <v>1</v>
      </c>
      <c r="AE104">
        <v>0</v>
      </c>
      <c r="AF104" t="s">
        <v>72</v>
      </c>
      <c r="AG104">
        <v>1.575</v>
      </c>
      <c r="AH104">
        <v>2</v>
      </c>
      <c r="AI104">
        <v>55669124</v>
      </c>
      <c r="AJ104">
        <v>92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</row>
    <row r="105" spans="1:44" ht="12.75">
      <c r="A105">
        <f>ROW(Source!A56)</f>
        <v>56</v>
      </c>
      <c r="B105">
        <v>55669136</v>
      </c>
      <c r="C105">
        <v>55669120</v>
      </c>
      <c r="D105">
        <v>53792927</v>
      </c>
      <c r="E105">
        <v>1</v>
      </c>
      <c r="F105">
        <v>1</v>
      </c>
      <c r="G105">
        <v>1</v>
      </c>
      <c r="H105">
        <v>2</v>
      </c>
      <c r="I105" t="s">
        <v>289</v>
      </c>
      <c r="J105" t="s">
        <v>290</v>
      </c>
      <c r="K105" t="s">
        <v>291</v>
      </c>
      <c r="L105">
        <v>1367</v>
      </c>
      <c r="N105">
        <v>1011</v>
      </c>
      <c r="O105" t="s">
        <v>285</v>
      </c>
      <c r="P105" t="s">
        <v>285</v>
      </c>
      <c r="Q105">
        <v>1</v>
      </c>
      <c r="X105">
        <v>1.9</v>
      </c>
      <c r="Y105">
        <v>0</v>
      </c>
      <c r="Z105">
        <v>65.71</v>
      </c>
      <c r="AA105">
        <v>11.6</v>
      </c>
      <c r="AB105">
        <v>0</v>
      </c>
      <c r="AC105">
        <v>0</v>
      </c>
      <c r="AD105">
        <v>1</v>
      </c>
      <c r="AE105">
        <v>0</v>
      </c>
      <c r="AF105" t="s">
        <v>72</v>
      </c>
      <c r="AG105">
        <v>2.375</v>
      </c>
      <c r="AH105">
        <v>2</v>
      </c>
      <c r="AI105">
        <v>55669125</v>
      </c>
      <c r="AJ105">
        <v>93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</row>
    <row r="106" spans="1:44" ht="12.75">
      <c r="A106">
        <f>ROW(Source!A56)</f>
        <v>56</v>
      </c>
      <c r="B106">
        <v>55669137</v>
      </c>
      <c r="C106">
        <v>55669120</v>
      </c>
      <c r="D106">
        <v>53630422</v>
      </c>
      <c r="E106">
        <v>70</v>
      </c>
      <c r="F106">
        <v>1</v>
      </c>
      <c r="G106">
        <v>1</v>
      </c>
      <c r="H106">
        <v>3</v>
      </c>
      <c r="I106" t="s">
        <v>378</v>
      </c>
      <c r="K106" t="s">
        <v>379</v>
      </c>
      <c r="L106">
        <v>1377</v>
      </c>
      <c r="N106">
        <v>1013</v>
      </c>
      <c r="O106" t="s">
        <v>85</v>
      </c>
      <c r="P106" t="s">
        <v>85</v>
      </c>
      <c r="Q106">
        <v>1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1</v>
      </c>
      <c r="AD106">
        <v>0</v>
      </c>
      <c r="AE106">
        <v>0</v>
      </c>
      <c r="AG106">
        <v>0</v>
      </c>
      <c r="AH106">
        <v>3</v>
      </c>
      <c r="AI106">
        <v>-1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</row>
    <row r="107" spans="1:44" ht="12.75">
      <c r="A107">
        <f>ROW(Source!A56)</f>
        <v>56</v>
      </c>
      <c r="B107">
        <v>55669138</v>
      </c>
      <c r="C107">
        <v>55669120</v>
      </c>
      <c r="D107">
        <v>53644939</v>
      </c>
      <c r="E107">
        <v>1</v>
      </c>
      <c r="F107">
        <v>1</v>
      </c>
      <c r="G107">
        <v>1</v>
      </c>
      <c r="H107">
        <v>3</v>
      </c>
      <c r="I107" t="s">
        <v>331</v>
      </c>
      <c r="J107" t="s">
        <v>332</v>
      </c>
      <c r="K107" t="s">
        <v>333</v>
      </c>
      <c r="L107">
        <v>1348</v>
      </c>
      <c r="N107">
        <v>1009</v>
      </c>
      <c r="O107" t="s">
        <v>41</v>
      </c>
      <c r="P107" t="s">
        <v>41</v>
      </c>
      <c r="Q107">
        <v>1000</v>
      </c>
      <c r="X107">
        <v>0.00168</v>
      </c>
      <c r="Y107">
        <v>11978</v>
      </c>
      <c r="Z107">
        <v>0</v>
      </c>
      <c r="AA107">
        <v>0</v>
      </c>
      <c r="AB107">
        <v>0</v>
      </c>
      <c r="AC107">
        <v>0</v>
      </c>
      <c r="AD107">
        <v>1</v>
      </c>
      <c r="AE107">
        <v>0</v>
      </c>
      <c r="AG107">
        <v>0.00168</v>
      </c>
      <c r="AH107">
        <v>2</v>
      </c>
      <c r="AI107">
        <v>55669126</v>
      </c>
      <c r="AJ107">
        <v>94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</row>
    <row r="108" spans="1:44" ht="12.75">
      <c r="A108">
        <f>ROW(Source!A56)</f>
        <v>56</v>
      </c>
      <c r="B108">
        <v>55669139</v>
      </c>
      <c r="C108">
        <v>55669120</v>
      </c>
      <c r="D108">
        <v>53647861</v>
      </c>
      <c r="E108">
        <v>1</v>
      </c>
      <c r="F108">
        <v>1</v>
      </c>
      <c r="G108">
        <v>1</v>
      </c>
      <c r="H108">
        <v>3</v>
      </c>
      <c r="I108" t="s">
        <v>334</v>
      </c>
      <c r="J108" t="s">
        <v>335</v>
      </c>
      <c r="K108" t="s">
        <v>336</v>
      </c>
      <c r="L108">
        <v>1339</v>
      </c>
      <c r="N108">
        <v>1007</v>
      </c>
      <c r="O108" t="s">
        <v>305</v>
      </c>
      <c r="P108" t="s">
        <v>305</v>
      </c>
      <c r="Q108">
        <v>1</v>
      </c>
      <c r="X108">
        <v>0.076</v>
      </c>
      <c r="Y108">
        <v>458</v>
      </c>
      <c r="Z108">
        <v>0</v>
      </c>
      <c r="AA108">
        <v>0</v>
      </c>
      <c r="AB108">
        <v>0</v>
      </c>
      <c r="AC108">
        <v>0</v>
      </c>
      <c r="AD108">
        <v>1</v>
      </c>
      <c r="AE108">
        <v>0</v>
      </c>
      <c r="AG108">
        <v>0.076</v>
      </c>
      <c r="AH108">
        <v>2</v>
      </c>
      <c r="AI108">
        <v>55669127</v>
      </c>
      <c r="AJ108">
        <v>95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</row>
    <row r="109" spans="1:44" ht="12.75">
      <c r="A109">
        <f>ROW(Source!A56)</f>
        <v>56</v>
      </c>
      <c r="B109">
        <v>55669140</v>
      </c>
      <c r="C109">
        <v>55669120</v>
      </c>
      <c r="D109">
        <v>53660946</v>
      </c>
      <c r="E109">
        <v>1</v>
      </c>
      <c r="F109">
        <v>1</v>
      </c>
      <c r="G109">
        <v>1</v>
      </c>
      <c r="H109">
        <v>3</v>
      </c>
      <c r="I109" t="s">
        <v>337</v>
      </c>
      <c r="J109" t="s">
        <v>338</v>
      </c>
      <c r="K109" t="s">
        <v>339</v>
      </c>
      <c r="L109">
        <v>1346</v>
      </c>
      <c r="N109">
        <v>1009</v>
      </c>
      <c r="O109" t="s">
        <v>340</v>
      </c>
      <c r="P109" t="s">
        <v>340</v>
      </c>
      <c r="Q109">
        <v>1</v>
      </c>
      <c r="X109">
        <v>22.41</v>
      </c>
      <c r="Y109">
        <v>10.26</v>
      </c>
      <c r="Z109">
        <v>0</v>
      </c>
      <c r="AA109">
        <v>0</v>
      </c>
      <c r="AB109">
        <v>0</v>
      </c>
      <c r="AC109">
        <v>0</v>
      </c>
      <c r="AD109">
        <v>1</v>
      </c>
      <c r="AE109">
        <v>0</v>
      </c>
      <c r="AG109">
        <v>22.41</v>
      </c>
      <c r="AH109">
        <v>2</v>
      </c>
      <c r="AI109">
        <v>55669128</v>
      </c>
      <c r="AJ109">
        <v>96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 ht="12.75">
      <c r="A110">
        <f>ROW(Source!A56)</f>
        <v>56</v>
      </c>
      <c r="B110">
        <v>55669141</v>
      </c>
      <c r="C110">
        <v>55669120</v>
      </c>
      <c r="D110">
        <v>53666237</v>
      </c>
      <c r="E110">
        <v>1</v>
      </c>
      <c r="F110">
        <v>1</v>
      </c>
      <c r="G110">
        <v>1</v>
      </c>
      <c r="H110">
        <v>3</v>
      </c>
      <c r="I110" t="s">
        <v>341</v>
      </c>
      <c r="J110" t="s">
        <v>342</v>
      </c>
      <c r="K110" t="s">
        <v>343</v>
      </c>
      <c r="L110">
        <v>1339</v>
      </c>
      <c r="N110">
        <v>1007</v>
      </c>
      <c r="O110" t="s">
        <v>305</v>
      </c>
      <c r="P110" t="s">
        <v>305</v>
      </c>
      <c r="Q110">
        <v>1</v>
      </c>
      <c r="X110">
        <v>0.07</v>
      </c>
      <c r="Y110">
        <v>1100</v>
      </c>
      <c r="Z110">
        <v>0</v>
      </c>
      <c r="AA110">
        <v>0</v>
      </c>
      <c r="AB110">
        <v>0</v>
      </c>
      <c r="AC110">
        <v>0</v>
      </c>
      <c r="AD110">
        <v>1</v>
      </c>
      <c r="AE110">
        <v>0</v>
      </c>
      <c r="AG110">
        <v>0.07</v>
      </c>
      <c r="AH110">
        <v>2</v>
      </c>
      <c r="AI110">
        <v>55669129</v>
      </c>
      <c r="AJ110">
        <v>97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</row>
    <row r="111" spans="1:44" ht="12.75">
      <c r="A111">
        <f>ROW(Source!A56)</f>
        <v>56</v>
      </c>
      <c r="B111">
        <v>55669142</v>
      </c>
      <c r="C111">
        <v>55669120</v>
      </c>
      <c r="D111">
        <v>53632598</v>
      </c>
      <c r="E111">
        <v>70</v>
      </c>
      <c r="F111">
        <v>1</v>
      </c>
      <c r="G111">
        <v>1</v>
      </c>
      <c r="H111">
        <v>3</v>
      </c>
      <c r="I111" t="s">
        <v>380</v>
      </c>
      <c r="K111" t="s">
        <v>381</v>
      </c>
      <c r="L111">
        <v>1327</v>
      </c>
      <c r="N111">
        <v>1005</v>
      </c>
      <c r="O111" t="s">
        <v>81</v>
      </c>
      <c r="P111" t="s">
        <v>81</v>
      </c>
      <c r="Q111">
        <v>1</v>
      </c>
      <c r="X111">
        <v>100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G111">
        <v>100</v>
      </c>
      <c r="AH111">
        <v>3</v>
      </c>
      <c r="AI111">
        <v>-1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</row>
    <row r="112" spans="1:44" ht="12.75">
      <c r="A112">
        <f>ROW(Source!A56)</f>
        <v>56</v>
      </c>
      <c r="B112">
        <v>55669143</v>
      </c>
      <c r="C112">
        <v>55669120</v>
      </c>
      <c r="D112">
        <v>53674465</v>
      </c>
      <c r="E112">
        <v>1</v>
      </c>
      <c r="F112">
        <v>1</v>
      </c>
      <c r="G112">
        <v>1</v>
      </c>
      <c r="H112">
        <v>3</v>
      </c>
      <c r="I112" t="s">
        <v>344</v>
      </c>
      <c r="J112" t="s">
        <v>345</v>
      </c>
      <c r="K112" t="s">
        <v>346</v>
      </c>
      <c r="L112">
        <v>1296</v>
      </c>
      <c r="N112">
        <v>1002</v>
      </c>
      <c r="O112" t="s">
        <v>347</v>
      </c>
      <c r="P112" t="s">
        <v>347</v>
      </c>
      <c r="Q112">
        <v>1</v>
      </c>
      <c r="X112">
        <v>22.2</v>
      </c>
      <c r="Y112">
        <v>46.86</v>
      </c>
      <c r="Z112">
        <v>0</v>
      </c>
      <c r="AA112">
        <v>0</v>
      </c>
      <c r="AB112">
        <v>0</v>
      </c>
      <c r="AC112">
        <v>0</v>
      </c>
      <c r="AD112">
        <v>1</v>
      </c>
      <c r="AE112">
        <v>0</v>
      </c>
      <c r="AG112">
        <v>22.2</v>
      </c>
      <c r="AH112">
        <v>2</v>
      </c>
      <c r="AI112">
        <v>55669130</v>
      </c>
      <c r="AJ112">
        <v>98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</row>
    <row r="113" spans="1:44" ht="12.75">
      <c r="A113">
        <f>ROW(Source!A57)</f>
        <v>57</v>
      </c>
      <c r="B113">
        <v>55669132</v>
      </c>
      <c r="C113">
        <v>55669120</v>
      </c>
      <c r="D113">
        <v>53630101</v>
      </c>
      <c r="E113">
        <v>70</v>
      </c>
      <c r="F113">
        <v>1</v>
      </c>
      <c r="G113">
        <v>1</v>
      </c>
      <c r="H113">
        <v>1</v>
      </c>
      <c r="I113" t="s">
        <v>326</v>
      </c>
      <c r="K113" t="s">
        <v>327</v>
      </c>
      <c r="L113">
        <v>1191</v>
      </c>
      <c r="N113">
        <v>1013</v>
      </c>
      <c r="O113" t="s">
        <v>279</v>
      </c>
      <c r="P113" t="s">
        <v>279</v>
      </c>
      <c r="Q113">
        <v>1</v>
      </c>
      <c r="X113">
        <v>80.1</v>
      </c>
      <c r="Y113">
        <v>0</v>
      </c>
      <c r="Z113">
        <v>0</v>
      </c>
      <c r="AA113">
        <v>0</v>
      </c>
      <c r="AB113">
        <v>9.4</v>
      </c>
      <c r="AC113">
        <v>0</v>
      </c>
      <c r="AD113">
        <v>1</v>
      </c>
      <c r="AE113">
        <v>1</v>
      </c>
      <c r="AF113" t="s">
        <v>73</v>
      </c>
      <c r="AG113">
        <v>92.11499999999998</v>
      </c>
      <c r="AH113">
        <v>2</v>
      </c>
      <c r="AI113">
        <v>55669121</v>
      </c>
      <c r="AJ113">
        <v>100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</row>
    <row r="114" spans="1:44" ht="12.75">
      <c r="A114">
        <f>ROW(Source!A57)</f>
        <v>57</v>
      </c>
      <c r="B114">
        <v>55669133</v>
      </c>
      <c r="C114">
        <v>55669120</v>
      </c>
      <c r="D114">
        <v>53630257</v>
      </c>
      <c r="E114">
        <v>70</v>
      </c>
      <c r="F114">
        <v>1</v>
      </c>
      <c r="G114">
        <v>1</v>
      </c>
      <c r="H114">
        <v>1</v>
      </c>
      <c r="I114" t="s">
        <v>280</v>
      </c>
      <c r="K114" t="s">
        <v>281</v>
      </c>
      <c r="L114">
        <v>1191</v>
      </c>
      <c r="N114">
        <v>1013</v>
      </c>
      <c r="O114" t="s">
        <v>279</v>
      </c>
      <c r="P114" t="s">
        <v>279</v>
      </c>
      <c r="Q114">
        <v>1</v>
      </c>
      <c r="X114">
        <v>10.24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1</v>
      </c>
      <c r="AE114">
        <v>2</v>
      </c>
      <c r="AF114" t="s">
        <v>72</v>
      </c>
      <c r="AG114">
        <v>12.8</v>
      </c>
      <c r="AH114">
        <v>2</v>
      </c>
      <c r="AI114">
        <v>55669122</v>
      </c>
      <c r="AJ114">
        <v>101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</row>
    <row r="115" spans="1:44" ht="12.75">
      <c r="A115">
        <f>ROW(Source!A57)</f>
        <v>57</v>
      </c>
      <c r="B115">
        <v>55669134</v>
      </c>
      <c r="C115">
        <v>55669120</v>
      </c>
      <c r="D115">
        <v>53791939</v>
      </c>
      <c r="E115">
        <v>1</v>
      </c>
      <c r="F115">
        <v>1</v>
      </c>
      <c r="G115">
        <v>1</v>
      </c>
      <c r="H115">
        <v>2</v>
      </c>
      <c r="I115" t="s">
        <v>328</v>
      </c>
      <c r="J115" t="s">
        <v>329</v>
      </c>
      <c r="K115" t="s">
        <v>330</v>
      </c>
      <c r="L115">
        <v>1367</v>
      </c>
      <c r="N115">
        <v>1011</v>
      </c>
      <c r="O115" t="s">
        <v>285</v>
      </c>
      <c r="P115" t="s">
        <v>285</v>
      </c>
      <c r="Q115">
        <v>1</v>
      </c>
      <c r="X115">
        <v>7.08</v>
      </c>
      <c r="Y115">
        <v>0</v>
      </c>
      <c r="Z115">
        <v>86.4</v>
      </c>
      <c r="AA115">
        <v>13.5</v>
      </c>
      <c r="AB115">
        <v>0</v>
      </c>
      <c r="AC115">
        <v>0</v>
      </c>
      <c r="AD115">
        <v>1</v>
      </c>
      <c r="AE115">
        <v>0</v>
      </c>
      <c r="AF115" t="s">
        <v>72</v>
      </c>
      <c r="AG115">
        <v>8.85</v>
      </c>
      <c r="AH115">
        <v>2</v>
      </c>
      <c r="AI115">
        <v>55669123</v>
      </c>
      <c r="AJ115">
        <v>102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</row>
    <row r="116" spans="1:44" ht="12.75">
      <c r="A116">
        <f>ROW(Source!A57)</f>
        <v>57</v>
      </c>
      <c r="B116">
        <v>55669135</v>
      </c>
      <c r="C116">
        <v>55669120</v>
      </c>
      <c r="D116">
        <v>53791997</v>
      </c>
      <c r="E116">
        <v>1</v>
      </c>
      <c r="F116">
        <v>1</v>
      </c>
      <c r="G116">
        <v>1</v>
      </c>
      <c r="H116">
        <v>2</v>
      </c>
      <c r="I116" t="s">
        <v>282</v>
      </c>
      <c r="J116" t="s">
        <v>283</v>
      </c>
      <c r="K116" t="s">
        <v>284</v>
      </c>
      <c r="L116">
        <v>1367</v>
      </c>
      <c r="N116">
        <v>1011</v>
      </c>
      <c r="O116" t="s">
        <v>285</v>
      </c>
      <c r="P116" t="s">
        <v>285</v>
      </c>
      <c r="Q116">
        <v>1</v>
      </c>
      <c r="X116">
        <v>1.26</v>
      </c>
      <c r="Y116">
        <v>0</v>
      </c>
      <c r="Z116">
        <v>115.4</v>
      </c>
      <c r="AA116">
        <v>13.5</v>
      </c>
      <c r="AB116">
        <v>0</v>
      </c>
      <c r="AC116">
        <v>0</v>
      </c>
      <c r="AD116">
        <v>1</v>
      </c>
      <c r="AE116">
        <v>0</v>
      </c>
      <c r="AF116" t="s">
        <v>72</v>
      </c>
      <c r="AG116">
        <v>1.575</v>
      </c>
      <c r="AH116">
        <v>2</v>
      </c>
      <c r="AI116">
        <v>55669124</v>
      </c>
      <c r="AJ116">
        <v>103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</row>
    <row r="117" spans="1:44" ht="12.75">
      <c r="A117">
        <f>ROW(Source!A57)</f>
        <v>57</v>
      </c>
      <c r="B117">
        <v>55669136</v>
      </c>
      <c r="C117">
        <v>55669120</v>
      </c>
      <c r="D117">
        <v>53792927</v>
      </c>
      <c r="E117">
        <v>1</v>
      </c>
      <c r="F117">
        <v>1</v>
      </c>
      <c r="G117">
        <v>1</v>
      </c>
      <c r="H117">
        <v>2</v>
      </c>
      <c r="I117" t="s">
        <v>289</v>
      </c>
      <c r="J117" t="s">
        <v>290</v>
      </c>
      <c r="K117" t="s">
        <v>291</v>
      </c>
      <c r="L117">
        <v>1367</v>
      </c>
      <c r="N117">
        <v>1011</v>
      </c>
      <c r="O117" t="s">
        <v>285</v>
      </c>
      <c r="P117" t="s">
        <v>285</v>
      </c>
      <c r="Q117">
        <v>1</v>
      </c>
      <c r="X117">
        <v>1.9</v>
      </c>
      <c r="Y117">
        <v>0</v>
      </c>
      <c r="Z117">
        <v>65.71</v>
      </c>
      <c r="AA117">
        <v>11.6</v>
      </c>
      <c r="AB117">
        <v>0</v>
      </c>
      <c r="AC117">
        <v>0</v>
      </c>
      <c r="AD117">
        <v>1</v>
      </c>
      <c r="AE117">
        <v>0</v>
      </c>
      <c r="AF117" t="s">
        <v>72</v>
      </c>
      <c r="AG117">
        <v>2.375</v>
      </c>
      <c r="AH117">
        <v>2</v>
      </c>
      <c r="AI117">
        <v>55669125</v>
      </c>
      <c r="AJ117">
        <v>104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</row>
    <row r="118" spans="1:44" ht="12.75">
      <c r="A118">
        <f>ROW(Source!A57)</f>
        <v>57</v>
      </c>
      <c r="B118">
        <v>55669137</v>
      </c>
      <c r="C118">
        <v>55669120</v>
      </c>
      <c r="D118">
        <v>53630422</v>
      </c>
      <c r="E118">
        <v>70</v>
      </c>
      <c r="F118">
        <v>1</v>
      </c>
      <c r="G118">
        <v>1</v>
      </c>
      <c r="H118">
        <v>3</v>
      </c>
      <c r="I118" t="s">
        <v>378</v>
      </c>
      <c r="K118" t="s">
        <v>379</v>
      </c>
      <c r="L118">
        <v>1377</v>
      </c>
      <c r="N118">
        <v>1013</v>
      </c>
      <c r="O118" t="s">
        <v>85</v>
      </c>
      <c r="P118" t="s">
        <v>85</v>
      </c>
      <c r="Q118">
        <v>1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1</v>
      </c>
      <c r="AD118">
        <v>0</v>
      </c>
      <c r="AE118">
        <v>0</v>
      </c>
      <c r="AG118">
        <v>0</v>
      </c>
      <c r="AH118">
        <v>3</v>
      </c>
      <c r="AI118">
        <v>-1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</row>
    <row r="119" spans="1:44" ht="12.75">
      <c r="A119">
        <f>ROW(Source!A57)</f>
        <v>57</v>
      </c>
      <c r="B119">
        <v>55669138</v>
      </c>
      <c r="C119">
        <v>55669120</v>
      </c>
      <c r="D119">
        <v>53644939</v>
      </c>
      <c r="E119">
        <v>1</v>
      </c>
      <c r="F119">
        <v>1</v>
      </c>
      <c r="G119">
        <v>1</v>
      </c>
      <c r="H119">
        <v>3</v>
      </c>
      <c r="I119" t="s">
        <v>331</v>
      </c>
      <c r="J119" t="s">
        <v>332</v>
      </c>
      <c r="K119" t="s">
        <v>333</v>
      </c>
      <c r="L119">
        <v>1348</v>
      </c>
      <c r="N119">
        <v>1009</v>
      </c>
      <c r="O119" t="s">
        <v>41</v>
      </c>
      <c r="P119" t="s">
        <v>41</v>
      </c>
      <c r="Q119">
        <v>1000</v>
      </c>
      <c r="X119">
        <v>0.00168</v>
      </c>
      <c r="Y119">
        <v>11978</v>
      </c>
      <c r="Z119">
        <v>0</v>
      </c>
      <c r="AA119">
        <v>0</v>
      </c>
      <c r="AB119">
        <v>0</v>
      </c>
      <c r="AC119">
        <v>0</v>
      </c>
      <c r="AD119">
        <v>1</v>
      </c>
      <c r="AE119">
        <v>0</v>
      </c>
      <c r="AG119">
        <v>0.00168</v>
      </c>
      <c r="AH119">
        <v>2</v>
      </c>
      <c r="AI119">
        <v>55669126</v>
      </c>
      <c r="AJ119">
        <v>105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</row>
    <row r="120" spans="1:44" ht="12.75">
      <c r="A120">
        <f>ROW(Source!A57)</f>
        <v>57</v>
      </c>
      <c r="B120">
        <v>55669139</v>
      </c>
      <c r="C120">
        <v>55669120</v>
      </c>
      <c r="D120">
        <v>53647861</v>
      </c>
      <c r="E120">
        <v>1</v>
      </c>
      <c r="F120">
        <v>1</v>
      </c>
      <c r="G120">
        <v>1</v>
      </c>
      <c r="H120">
        <v>3</v>
      </c>
      <c r="I120" t="s">
        <v>334</v>
      </c>
      <c r="J120" t="s">
        <v>335</v>
      </c>
      <c r="K120" t="s">
        <v>336</v>
      </c>
      <c r="L120">
        <v>1339</v>
      </c>
      <c r="N120">
        <v>1007</v>
      </c>
      <c r="O120" t="s">
        <v>305</v>
      </c>
      <c r="P120" t="s">
        <v>305</v>
      </c>
      <c r="Q120">
        <v>1</v>
      </c>
      <c r="X120">
        <v>0.076</v>
      </c>
      <c r="Y120">
        <v>458</v>
      </c>
      <c r="Z120">
        <v>0</v>
      </c>
      <c r="AA120">
        <v>0</v>
      </c>
      <c r="AB120">
        <v>0</v>
      </c>
      <c r="AC120">
        <v>0</v>
      </c>
      <c r="AD120">
        <v>1</v>
      </c>
      <c r="AE120">
        <v>0</v>
      </c>
      <c r="AG120">
        <v>0.076</v>
      </c>
      <c r="AH120">
        <v>2</v>
      </c>
      <c r="AI120">
        <v>55669127</v>
      </c>
      <c r="AJ120">
        <v>106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</row>
    <row r="121" spans="1:44" ht="12.75">
      <c r="A121">
        <f>ROW(Source!A57)</f>
        <v>57</v>
      </c>
      <c r="B121">
        <v>55669140</v>
      </c>
      <c r="C121">
        <v>55669120</v>
      </c>
      <c r="D121">
        <v>53660946</v>
      </c>
      <c r="E121">
        <v>1</v>
      </c>
      <c r="F121">
        <v>1</v>
      </c>
      <c r="G121">
        <v>1</v>
      </c>
      <c r="H121">
        <v>3</v>
      </c>
      <c r="I121" t="s">
        <v>337</v>
      </c>
      <c r="J121" t="s">
        <v>338</v>
      </c>
      <c r="K121" t="s">
        <v>339</v>
      </c>
      <c r="L121">
        <v>1346</v>
      </c>
      <c r="N121">
        <v>1009</v>
      </c>
      <c r="O121" t="s">
        <v>340</v>
      </c>
      <c r="P121" t="s">
        <v>340</v>
      </c>
      <c r="Q121">
        <v>1</v>
      </c>
      <c r="X121">
        <v>22.41</v>
      </c>
      <c r="Y121">
        <v>10.26</v>
      </c>
      <c r="Z121">
        <v>0</v>
      </c>
      <c r="AA121">
        <v>0</v>
      </c>
      <c r="AB121">
        <v>0</v>
      </c>
      <c r="AC121">
        <v>0</v>
      </c>
      <c r="AD121">
        <v>1</v>
      </c>
      <c r="AE121">
        <v>0</v>
      </c>
      <c r="AG121">
        <v>22.41</v>
      </c>
      <c r="AH121">
        <v>2</v>
      </c>
      <c r="AI121">
        <v>55669128</v>
      </c>
      <c r="AJ121">
        <v>107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</row>
    <row r="122" spans="1:44" ht="12.75">
      <c r="A122">
        <f>ROW(Source!A57)</f>
        <v>57</v>
      </c>
      <c r="B122">
        <v>55669141</v>
      </c>
      <c r="C122">
        <v>55669120</v>
      </c>
      <c r="D122">
        <v>53666237</v>
      </c>
      <c r="E122">
        <v>1</v>
      </c>
      <c r="F122">
        <v>1</v>
      </c>
      <c r="G122">
        <v>1</v>
      </c>
      <c r="H122">
        <v>3</v>
      </c>
      <c r="I122" t="s">
        <v>341</v>
      </c>
      <c r="J122" t="s">
        <v>342</v>
      </c>
      <c r="K122" t="s">
        <v>343</v>
      </c>
      <c r="L122">
        <v>1339</v>
      </c>
      <c r="N122">
        <v>1007</v>
      </c>
      <c r="O122" t="s">
        <v>305</v>
      </c>
      <c r="P122" t="s">
        <v>305</v>
      </c>
      <c r="Q122">
        <v>1</v>
      </c>
      <c r="X122">
        <v>0.07</v>
      </c>
      <c r="Y122">
        <v>1100</v>
      </c>
      <c r="Z122">
        <v>0</v>
      </c>
      <c r="AA122">
        <v>0</v>
      </c>
      <c r="AB122">
        <v>0</v>
      </c>
      <c r="AC122">
        <v>0</v>
      </c>
      <c r="AD122">
        <v>1</v>
      </c>
      <c r="AE122">
        <v>0</v>
      </c>
      <c r="AG122">
        <v>0.07</v>
      </c>
      <c r="AH122">
        <v>2</v>
      </c>
      <c r="AI122">
        <v>55669129</v>
      </c>
      <c r="AJ122">
        <v>108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</row>
    <row r="123" spans="1:44" ht="12.75">
      <c r="A123">
        <f>ROW(Source!A57)</f>
        <v>57</v>
      </c>
      <c r="B123">
        <v>55669142</v>
      </c>
      <c r="C123">
        <v>55669120</v>
      </c>
      <c r="D123">
        <v>53632598</v>
      </c>
      <c r="E123">
        <v>70</v>
      </c>
      <c r="F123">
        <v>1</v>
      </c>
      <c r="G123">
        <v>1</v>
      </c>
      <c r="H123">
        <v>3</v>
      </c>
      <c r="I123" t="s">
        <v>380</v>
      </c>
      <c r="K123" t="s">
        <v>381</v>
      </c>
      <c r="L123">
        <v>1327</v>
      </c>
      <c r="N123">
        <v>1005</v>
      </c>
      <c r="O123" t="s">
        <v>81</v>
      </c>
      <c r="P123" t="s">
        <v>81</v>
      </c>
      <c r="Q123">
        <v>1</v>
      </c>
      <c r="X123">
        <v>100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G123">
        <v>100</v>
      </c>
      <c r="AH123">
        <v>3</v>
      </c>
      <c r="AI123">
        <v>-1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</row>
    <row r="124" spans="1:44" ht="12.75">
      <c r="A124">
        <f>ROW(Source!A57)</f>
        <v>57</v>
      </c>
      <c r="B124">
        <v>55669143</v>
      </c>
      <c r="C124">
        <v>55669120</v>
      </c>
      <c r="D124">
        <v>53674465</v>
      </c>
      <c r="E124">
        <v>1</v>
      </c>
      <c r="F124">
        <v>1</v>
      </c>
      <c r="G124">
        <v>1</v>
      </c>
      <c r="H124">
        <v>3</v>
      </c>
      <c r="I124" t="s">
        <v>344</v>
      </c>
      <c r="J124" t="s">
        <v>345</v>
      </c>
      <c r="K124" t="s">
        <v>346</v>
      </c>
      <c r="L124">
        <v>1296</v>
      </c>
      <c r="N124">
        <v>1002</v>
      </c>
      <c r="O124" t="s">
        <v>347</v>
      </c>
      <c r="P124" t="s">
        <v>347</v>
      </c>
      <c r="Q124">
        <v>1</v>
      </c>
      <c r="X124">
        <v>22.2</v>
      </c>
      <c r="Y124">
        <v>46.86</v>
      </c>
      <c r="Z124">
        <v>0</v>
      </c>
      <c r="AA124">
        <v>0</v>
      </c>
      <c r="AB124">
        <v>0</v>
      </c>
      <c r="AC124">
        <v>0</v>
      </c>
      <c r="AD124">
        <v>1</v>
      </c>
      <c r="AE124">
        <v>0</v>
      </c>
      <c r="AG124">
        <v>22.2</v>
      </c>
      <c r="AH124">
        <v>2</v>
      </c>
      <c r="AI124">
        <v>55669130</v>
      </c>
      <c r="AJ124">
        <v>109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</row>
    <row r="125" spans="1:44" ht="12.75">
      <c r="A125">
        <f>ROW(Source!A60)</f>
        <v>60</v>
      </c>
      <c r="B125">
        <v>55669151</v>
      </c>
      <c r="C125">
        <v>55669145</v>
      </c>
      <c r="D125">
        <v>53630105</v>
      </c>
      <c r="E125">
        <v>70</v>
      </c>
      <c r="F125">
        <v>1</v>
      </c>
      <c r="G125">
        <v>1</v>
      </c>
      <c r="H125">
        <v>1</v>
      </c>
      <c r="I125" t="s">
        <v>348</v>
      </c>
      <c r="K125" t="s">
        <v>349</v>
      </c>
      <c r="L125">
        <v>1191</v>
      </c>
      <c r="N125">
        <v>1013</v>
      </c>
      <c r="O125" t="s">
        <v>279</v>
      </c>
      <c r="P125" t="s">
        <v>279</v>
      </c>
      <c r="Q125">
        <v>1</v>
      </c>
      <c r="X125">
        <v>26.56</v>
      </c>
      <c r="Y125">
        <v>0</v>
      </c>
      <c r="Z125">
        <v>0</v>
      </c>
      <c r="AA125">
        <v>0</v>
      </c>
      <c r="AB125">
        <v>9.51</v>
      </c>
      <c r="AC125">
        <v>0</v>
      </c>
      <c r="AD125">
        <v>1</v>
      </c>
      <c r="AE125">
        <v>1</v>
      </c>
      <c r="AF125" t="s">
        <v>73</v>
      </c>
      <c r="AG125">
        <v>30.543999999999997</v>
      </c>
      <c r="AH125">
        <v>2</v>
      </c>
      <c r="AI125">
        <v>55669146</v>
      </c>
      <c r="AJ125">
        <v>111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</row>
    <row r="126" spans="1:44" ht="12.75">
      <c r="A126">
        <f>ROW(Source!A60)</f>
        <v>60</v>
      </c>
      <c r="B126">
        <v>55669152</v>
      </c>
      <c r="C126">
        <v>55669145</v>
      </c>
      <c r="D126">
        <v>53630257</v>
      </c>
      <c r="E126">
        <v>70</v>
      </c>
      <c r="F126">
        <v>1</v>
      </c>
      <c r="G126">
        <v>1</v>
      </c>
      <c r="H126">
        <v>1</v>
      </c>
      <c r="I126" t="s">
        <v>280</v>
      </c>
      <c r="K126" t="s">
        <v>281</v>
      </c>
      <c r="L126">
        <v>1191</v>
      </c>
      <c r="N126">
        <v>1013</v>
      </c>
      <c r="O126" t="s">
        <v>279</v>
      </c>
      <c r="P126" t="s">
        <v>279</v>
      </c>
      <c r="Q126">
        <v>1</v>
      </c>
      <c r="X126">
        <v>0.14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1</v>
      </c>
      <c r="AE126">
        <v>2</v>
      </c>
      <c r="AF126" t="s">
        <v>72</v>
      </c>
      <c r="AG126">
        <v>0.17500000000000002</v>
      </c>
      <c r="AH126">
        <v>2</v>
      </c>
      <c r="AI126">
        <v>55669147</v>
      </c>
      <c r="AJ126">
        <v>112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</row>
    <row r="127" spans="1:44" ht="12.75">
      <c r="A127">
        <f>ROW(Source!A60)</f>
        <v>60</v>
      </c>
      <c r="B127">
        <v>55669153</v>
      </c>
      <c r="C127">
        <v>55669145</v>
      </c>
      <c r="D127">
        <v>53791997</v>
      </c>
      <c r="E127">
        <v>1</v>
      </c>
      <c r="F127">
        <v>1</v>
      </c>
      <c r="G127">
        <v>1</v>
      </c>
      <c r="H127">
        <v>2</v>
      </c>
      <c r="I127" t="s">
        <v>282</v>
      </c>
      <c r="J127" t="s">
        <v>283</v>
      </c>
      <c r="K127" t="s">
        <v>284</v>
      </c>
      <c r="L127">
        <v>1367</v>
      </c>
      <c r="N127">
        <v>1011</v>
      </c>
      <c r="O127" t="s">
        <v>285</v>
      </c>
      <c r="P127" t="s">
        <v>285</v>
      </c>
      <c r="Q127">
        <v>1</v>
      </c>
      <c r="X127">
        <v>0.09</v>
      </c>
      <c r="Y127">
        <v>0</v>
      </c>
      <c r="Z127">
        <v>115.4</v>
      </c>
      <c r="AA127">
        <v>13.5</v>
      </c>
      <c r="AB127">
        <v>0</v>
      </c>
      <c r="AC127">
        <v>0</v>
      </c>
      <c r="AD127">
        <v>1</v>
      </c>
      <c r="AE127">
        <v>0</v>
      </c>
      <c r="AF127" t="s">
        <v>72</v>
      </c>
      <c r="AG127">
        <v>0.11249999999999999</v>
      </c>
      <c r="AH127">
        <v>2</v>
      </c>
      <c r="AI127">
        <v>55669148</v>
      </c>
      <c r="AJ127">
        <v>113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</row>
    <row r="128" spans="1:44" ht="12.75">
      <c r="A128">
        <f>ROW(Source!A60)</f>
        <v>60</v>
      </c>
      <c r="B128">
        <v>55669154</v>
      </c>
      <c r="C128">
        <v>55669145</v>
      </c>
      <c r="D128">
        <v>53792927</v>
      </c>
      <c r="E128">
        <v>1</v>
      </c>
      <c r="F128">
        <v>1</v>
      </c>
      <c r="G128">
        <v>1</v>
      </c>
      <c r="H128">
        <v>2</v>
      </c>
      <c r="I128" t="s">
        <v>289</v>
      </c>
      <c r="J128" t="s">
        <v>290</v>
      </c>
      <c r="K128" t="s">
        <v>291</v>
      </c>
      <c r="L128">
        <v>1367</v>
      </c>
      <c r="N128">
        <v>1011</v>
      </c>
      <c r="O128" t="s">
        <v>285</v>
      </c>
      <c r="P128" t="s">
        <v>285</v>
      </c>
      <c r="Q128">
        <v>1</v>
      </c>
      <c r="X128">
        <v>0.05</v>
      </c>
      <c r="Y128">
        <v>0</v>
      </c>
      <c r="Z128">
        <v>65.71</v>
      </c>
      <c r="AA128">
        <v>11.6</v>
      </c>
      <c r="AB128">
        <v>0</v>
      </c>
      <c r="AC128">
        <v>0</v>
      </c>
      <c r="AD128">
        <v>1</v>
      </c>
      <c r="AE128">
        <v>0</v>
      </c>
      <c r="AF128" t="s">
        <v>72</v>
      </c>
      <c r="AG128">
        <v>0.0625</v>
      </c>
      <c r="AH128">
        <v>2</v>
      </c>
      <c r="AI128">
        <v>55669149</v>
      </c>
      <c r="AJ128">
        <v>114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</row>
    <row r="129" spans="1:44" ht="12.75">
      <c r="A129">
        <f>ROW(Source!A60)</f>
        <v>60</v>
      </c>
      <c r="B129">
        <v>55669155</v>
      </c>
      <c r="C129">
        <v>55669145</v>
      </c>
      <c r="D129">
        <v>53642567</v>
      </c>
      <c r="E129">
        <v>1</v>
      </c>
      <c r="F129">
        <v>1</v>
      </c>
      <c r="G129">
        <v>1</v>
      </c>
      <c r="H129">
        <v>3</v>
      </c>
      <c r="I129" t="s">
        <v>350</v>
      </c>
      <c r="J129" t="s">
        <v>351</v>
      </c>
      <c r="K129" t="s">
        <v>352</v>
      </c>
      <c r="L129">
        <v>1383</v>
      </c>
      <c r="N129">
        <v>1013</v>
      </c>
      <c r="O129" t="s">
        <v>353</v>
      </c>
      <c r="P129" t="s">
        <v>353</v>
      </c>
      <c r="Q129">
        <v>1</v>
      </c>
      <c r="X129">
        <v>5.5</v>
      </c>
      <c r="Y129">
        <v>0.4</v>
      </c>
      <c r="Z129">
        <v>0</v>
      </c>
      <c r="AA129">
        <v>0</v>
      </c>
      <c r="AB129">
        <v>0</v>
      </c>
      <c r="AC129">
        <v>0</v>
      </c>
      <c r="AD129">
        <v>1</v>
      </c>
      <c r="AE129">
        <v>0</v>
      </c>
      <c r="AG129">
        <v>5.5</v>
      </c>
      <c r="AH129">
        <v>2</v>
      </c>
      <c r="AI129">
        <v>55669150</v>
      </c>
      <c r="AJ129">
        <v>115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</row>
    <row r="130" spans="1:44" ht="12.75">
      <c r="A130">
        <f>ROW(Source!A60)</f>
        <v>60</v>
      </c>
      <c r="B130">
        <v>55669156</v>
      </c>
      <c r="C130">
        <v>55669145</v>
      </c>
      <c r="D130">
        <v>53630401</v>
      </c>
      <c r="E130">
        <v>70</v>
      </c>
      <c r="F130">
        <v>1</v>
      </c>
      <c r="G130">
        <v>1</v>
      </c>
      <c r="H130">
        <v>3</v>
      </c>
      <c r="I130" t="s">
        <v>382</v>
      </c>
      <c r="K130" t="s">
        <v>383</v>
      </c>
      <c r="L130">
        <v>1371</v>
      </c>
      <c r="N130">
        <v>1013</v>
      </c>
      <c r="O130" t="s">
        <v>50</v>
      </c>
      <c r="P130" t="s">
        <v>50</v>
      </c>
      <c r="Q130">
        <v>1</v>
      </c>
      <c r="X130">
        <v>100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G130">
        <v>100</v>
      </c>
      <c r="AH130">
        <v>3</v>
      </c>
      <c r="AI130">
        <v>-1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</row>
    <row r="131" spans="1:44" ht="12.75">
      <c r="A131">
        <f>ROW(Source!A61)</f>
        <v>61</v>
      </c>
      <c r="B131">
        <v>55669151</v>
      </c>
      <c r="C131">
        <v>55669145</v>
      </c>
      <c r="D131">
        <v>53630105</v>
      </c>
      <c r="E131">
        <v>70</v>
      </c>
      <c r="F131">
        <v>1</v>
      </c>
      <c r="G131">
        <v>1</v>
      </c>
      <c r="H131">
        <v>1</v>
      </c>
      <c r="I131" t="s">
        <v>348</v>
      </c>
      <c r="K131" t="s">
        <v>349</v>
      </c>
      <c r="L131">
        <v>1191</v>
      </c>
      <c r="N131">
        <v>1013</v>
      </c>
      <c r="O131" t="s">
        <v>279</v>
      </c>
      <c r="P131" t="s">
        <v>279</v>
      </c>
      <c r="Q131">
        <v>1</v>
      </c>
      <c r="X131">
        <v>26.56</v>
      </c>
      <c r="Y131">
        <v>0</v>
      </c>
      <c r="Z131">
        <v>0</v>
      </c>
      <c r="AA131">
        <v>0</v>
      </c>
      <c r="AB131">
        <v>9.51</v>
      </c>
      <c r="AC131">
        <v>0</v>
      </c>
      <c r="AD131">
        <v>1</v>
      </c>
      <c r="AE131">
        <v>1</v>
      </c>
      <c r="AF131" t="s">
        <v>73</v>
      </c>
      <c r="AG131">
        <v>30.543999999999997</v>
      </c>
      <c r="AH131">
        <v>2</v>
      </c>
      <c r="AI131">
        <v>55669146</v>
      </c>
      <c r="AJ131">
        <v>116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</row>
    <row r="132" spans="1:44" ht="12.75">
      <c r="A132">
        <f>ROW(Source!A61)</f>
        <v>61</v>
      </c>
      <c r="B132">
        <v>55669152</v>
      </c>
      <c r="C132">
        <v>55669145</v>
      </c>
      <c r="D132">
        <v>53630257</v>
      </c>
      <c r="E132">
        <v>70</v>
      </c>
      <c r="F132">
        <v>1</v>
      </c>
      <c r="G132">
        <v>1</v>
      </c>
      <c r="H132">
        <v>1</v>
      </c>
      <c r="I132" t="s">
        <v>280</v>
      </c>
      <c r="K132" t="s">
        <v>281</v>
      </c>
      <c r="L132">
        <v>1191</v>
      </c>
      <c r="N132">
        <v>1013</v>
      </c>
      <c r="O132" t="s">
        <v>279</v>
      </c>
      <c r="P132" t="s">
        <v>279</v>
      </c>
      <c r="Q132">
        <v>1</v>
      </c>
      <c r="X132">
        <v>0.14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1</v>
      </c>
      <c r="AE132">
        <v>2</v>
      </c>
      <c r="AF132" t="s">
        <v>72</v>
      </c>
      <c r="AG132">
        <v>0.17500000000000002</v>
      </c>
      <c r="AH132">
        <v>2</v>
      </c>
      <c r="AI132">
        <v>55669147</v>
      </c>
      <c r="AJ132">
        <v>117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</row>
    <row r="133" spans="1:44" ht="12.75">
      <c r="A133">
        <f>ROW(Source!A61)</f>
        <v>61</v>
      </c>
      <c r="B133">
        <v>55669153</v>
      </c>
      <c r="C133">
        <v>55669145</v>
      </c>
      <c r="D133">
        <v>53791997</v>
      </c>
      <c r="E133">
        <v>1</v>
      </c>
      <c r="F133">
        <v>1</v>
      </c>
      <c r="G133">
        <v>1</v>
      </c>
      <c r="H133">
        <v>2</v>
      </c>
      <c r="I133" t="s">
        <v>282</v>
      </c>
      <c r="J133" t="s">
        <v>283</v>
      </c>
      <c r="K133" t="s">
        <v>284</v>
      </c>
      <c r="L133">
        <v>1367</v>
      </c>
      <c r="N133">
        <v>1011</v>
      </c>
      <c r="O133" t="s">
        <v>285</v>
      </c>
      <c r="P133" t="s">
        <v>285</v>
      </c>
      <c r="Q133">
        <v>1</v>
      </c>
      <c r="X133">
        <v>0.09</v>
      </c>
      <c r="Y133">
        <v>0</v>
      </c>
      <c r="Z133">
        <v>115.4</v>
      </c>
      <c r="AA133">
        <v>13.5</v>
      </c>
      <c r="AB133">
        <v>0</v>
      </c>
      <c r="AC133">
        <v>0</v>
      </c>
      <c r="AD133">
        <v>1</v>
      </c>
      <c r="AE133">
        <v>0</v>
      </c>
      <c r="AF133" t="s">
        <v>72</v>
      </c>
      <c r="AG133">
        <v>0.11249999999999999</v>
      </c>
      <c r="AH133">
        <v>2</v>
      </c>
      <c r="AI133">
        <v>55669148</v>
      </c>
      <c r="AJ133">
        <v>118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</row>
    <row r="134" spans="1:44" ht="12.75">
      <c r="A134">
        <f>ROW(Source!A61)</f>
        <v>61</v>
      </c>
      <c r="B134">
        <v>55669154</v>
      </c>
      <c r="C134">
        <v>55669145</v>
      </c>
      <c r="D134">
        <v>53792927</v>
      </c>
      <c r="E134">
        <v>1</v>
      </c>
      <c r="F134">
        <v>1</v>
      </c>
      <c r="G134">
        <v>1</v>
      </c>
      <c r="H134">
        <v>2</v>
      </c>
      <c r="I134" t="s">
        <v>289</v>
      </c>
      <c r="J134" t="s">
        <v>290</v>
      </c>
      <c r="K134" t="s">
        <v>291</v>
      </c>
      <c r="L134">
        <v>1367</v>
      </c>
      <c r="N134">
        <v>1011</v>
      </c>
      <c r="O134" t="s">
        <v>285</v>
      </c>
      <c r="P134" t="s">
        <v>285</v>
      </c>
      <c r="Q134">
        <v>1</v>
      </c>
      <c r="X134">
        <v>0.05</v>
      </c>
      <c r="Y134">
        <v>0</v>
      </c>
      <c r="Z134">
        <v>65.71</v>
      </c>
      <c r="AA134">
        <v>11.6</v>
      </c>
      <c r="AB134">
        <v>0</v>
      </c>
      <c r="AC134">
        <v>0</v>
      </c>
      <c r="AD134">
        <v>1</v>
      </c>
      <c r="AE134">
        <v>0</v>
      </c>
      <c r="AF134" t="s">
        <v>72</v>
      </c>
      <c r="AG134">
        <v>0.0625</v>
      </c>
      <c r="AH134">
        <v>2</v>
      </c>
      <c r="AI134">
        <v>55669149</v>
      </c>
      <c r="AJ134">
        <v>119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</row>
    <row r="135" spans="1:44" ht="12.75">
      <c r="A135">
        <f>ROW(Source!A61)</f>
        <v>61</v>
      </c>
      <c r="B135">
        <v>55669155</v>
      </c>
      <c r="C135">
        <v>55669145</v>
      </c>
      <c r="D135">
        <v>53642567</v>
      </c>
      <c r="E135">
        <v>1</v>
      </c>
      <c r="F135">
        <v>1</v>
      </c>
      <c r="G135">
        <v>1</v>
      </c>
      <c r="H135">
        <v>3</v>
      </c>
      <c r="I135" t="s">
        <v>350</v>
      </c>
      <c r="J135" t="s">
        <v>351</v>
      </c>
      <c r="K135" t="s">
        <v>352</v>
      </c>
      <c r="L135">
        <v>1383</v>
      </c>
      <c r="N135">
        <v>1013</v>
      </c>
      <c r="O135" t="s">
        <v>353</v>
      </c>
      <c r="P135" t="s">
        <v>353</v>
      </c>
      <c r="Q135">
        <v>1</v>
      </c>
      <c r="X135">
        <v>5.5</v>
      </c>
      <c r="Y135">
        <v>0.4</v>
      </c>
      <c r="Z135">
        <v>0</v>
      </c>
      <c r="AA135">
        <v>0</v>
      </c>
      <c r="AB135">
        <v>0</v>
      </c>
      <c r="AC135">
        <v>0</v>
      </c>
      <c r="AD135">
        <v>1</v>
      </c>
      <c r="AE135">
        <v>0</v>
      </c>
      <c r="AG135">
        <v>5.5</v>
      </c>
      <c r="AH135">
        <v>2</v>
      </c>
      <c r="AI135">
        <v>55669150</v>
      </c>
      <c r="AJ135">
        <v>120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</row>
    <row r="136" spans="1:44" ht="12.75">
      <c r="A136">
        <f>ROW(Source!A61)</f>
        <v>61</v>
      </c>
      <c r="B136">
        <v>55669156</v>
      </c>
      <c r="C136">
        <v>55669145</v>
      </c>
      <c r="D136">
        <v>53630401</v>
      </c>
      <c r="E136">
        <v>70</v>
      </c>
      <c r="F136">
        <v>1</v>
      </c>
      <c r="G136">
        <v>1</v>
      </c>
      <c r="H136">
        <v>3</v>
      </c>
      <c r="I136" t="s">
        <v>382</v>
      </c>
      <c r="K136" t="s">
        <v>383</v>
      </c>
      <c r="L136">
        <v>1371</v>
      </c>
      <c r="N136">
        <v>1013</v>
      </c>
      <c r="O136" t="s">
        <v>50</v>
      </c>
      <c r="P136" t="s">
        <v>50</v>
      </c>
      <c r="Q136">
        <v>1</v>
      </c>
      <c r="X136">
        <v>100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0</v>
      </c>
      <c r="AE136">
        <v>0</v>
      </c>
      <c r="AG136">
        <v>100</v>
      </c>
      <c r="AH136">
        <v>3</v>
      </c>
      <c r="AI136">
        <v>-1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2023-09-27T09:36:13Z</cp:lastPrinted>
  <dcterms:created xsi:type="dcterms:W3CDTF">2023-09-13T06:29:58Z</dcterms:created>
  <dcterms:modified xsi:type="dcterms:W3CDTF">2023-10-11T12:54:03Z</dcterms:modified>
  <cp:category/>
  <cp:version/>
  <cp:contentType/>
  <cp:contentStatus/>
</cp:coreProperties>
</file>