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по ФЕР 421пр (12 гр." sheetId="1" r:id="rId1"/>
    <sheet name="Ведомость объемов работ" sheetId="2" r:id="rId2"/>
    <sheet name="Дефектная ведомость" sheetId="3" r:id="rId3"/>
    <sheet name="Source" sheetId="4" r:id="rId4"/>
    <sheet name="SourceObSm" sheetId="5" r:id="rId5"/>
    <sheet name="SmtRes" sheetId="6" r:id="rId6"/>
    <sheet name="EtalonRes" sheetId="7" r:id="rId7"/>
  </sheets>
  <definedNames>
    <definedName name="_xlnm.Print_Titles" localSheetId="1">'Ведомость объемов работ'!$17:$17</definedName>
    <definedName name="_xlnm.Print_Titles" localSheetId="2">'Дефектная ведомость'!$18:$18</definedName>
    <definedName name="_xlnm.Print_Titles" localSheetId="0">'Смета по ФЕР 421пр (12 гр.'!$46:$46</definedName>
    <definedName name="_xlnm.Print_Area" localSheetId="1">'Ведомость объемов работ'!$A$1:$H$60</definedName>
    <definedName name="_xlnm.Print_Area" localSheetId="2">'Дефектная ведомость'!$A$1:$E$61</definedName>
    <definedName name="_xlnm.Print_Area" localSheetId="0">'Смета по ФЕР 421пр (12 гр.'!$A$1:$L$326</definedName>
  </definedNames>
  <calcPr fullCalcOnLoad="1"/>
</workbook>
</file>

<file path=xl/sharedStrings.xml><?xml version="1.0" encoding="utf-8"?>
<sst xmlns="http://schemas.openxmlformats.org/spreadsheetml/2006/main" count="6494" uniqueCount="615">
  <si>
    <t>Smeta.RU  (495) 974-1589</t>
  </si>
  <si>
    <t>_PS_</t>
  </si>
  <si>
    <t>Smeta.RU</t>
  </si>
  <si>
    <t/>
  </si>
  <si>
    <t>Выполнение работ по текущему ремонту гранитной облицовки пола ИПУ РАН (главный вход, стрение 2)</t>
  </si>
  <si>
    <t>Степанова А.М.</t>
  </si>
  <si>
    <t>Ведующий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</si>
  <si>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</si>
  <si>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</si>
  <si>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</si>
  <si>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</si>
  <si>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</si>
  <si>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</si>
  <si>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</si>
  <si>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</si>
  <si>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</si>
  <si>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</si>
  <si>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</si>
  <si>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</si>
  <si>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Горяников С.Л.</t>
  </si>
  <si>
    <t>И.О. Главного инженера</t>
  </si>
  <si>
    <t>Демонтажные работы</t>
  </si>
  <si>
    <t>1</t>
  </si>
  <si>
    <t>57-2-3</t>
  </si>
  <si>
    <t>Разборка покрытий полов: из керамических плиток</t>
  </si>
  <si>
    <t>100 м2</t>
  </si>
  <si>
    <t>ФЕРр-2001 доп.8, 57-2-3, приказ Минстроя России № 746/пр от 14.10.2021</t>
  </si>
  <si>
    <t>Ремонтно-строительные работы</t>
  </si>
  <si>
    <t>Полы</t>
  </si>
  <si>
    <t>рФЕР-57</t>
  </si>
  <si>
    <t>Пр/812-091.0-1</t>
  </si>
  <si>
    <t>Пр/774-091.0</t>
  </si>
  <si>
    <t>Письмо Минстроя России от 10.03.2023 № 12381-ИФ/09</t>
  </si>
  <si>
    <t>1,1</t>
  </si>
  <si>
    <t>999-9900</t>
  </si>
  <si>
    <t>Строительный мусор</t>
  </si>
  <si>
    <t>т</t>
  </si>
  <si>
    <t>2</t>
  </si>
  <si>
    <t>68-20-1</t>
  </si>
  <si>
    <t>Разборка тротуаров и дорожек из плит с их отноской и укладкой в штабель</t>
  </si>
  <si>
    <t>ФЕРр-2001, 68-20-1, приказ Минстроя России № 876/пр от 26.12.2019</t>
  </si>
  <si>
    <t>Благоустройство</t>
  </si>
  <si>
    <t>рФЕР-68</t>
  </si>
  <si>
    <t>Пр/812-102.0-1</t>
  </si>
  <si>
    <t>Пр/774-102.0</t>
  </si>
  <si>
    <t>3</t>
  </si>
  <si>
    <t>68-12-5</t>
  </si>
  <si>
    <t>Разборка покрытий и оснований: цементно-песчанных (Применительно) (165,8 м2 * 0,05 м = 8,25 м3)</t>
  </si>
  <si>
    <t>100 м3</t>
  </si>
  <si>
    <t>ФЕРр-2001, 68-12-5, приказ Минстроя России № 876/пр от 26.12.2019</t>
  </si>
  <si>
    <t>4</t>
  </si>
  <si>
    <t>27-03-010-01</t>
  </si>
  <si>
    <t>Разборка бортовых камней: на бетонном основании</t>
  </si>
  <si>
    <t>100 м</t>
  </si>
  <si>
    <t>ФЕР-2001, 27-03-010-01, приказ Минстроя России № 876/пр от 26.12.2019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</si>
  <si>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</si>
  <si>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)*1,25</t>
  </si>
  <si>
    <t>)*1,15</t>
  </si>
  <si>
    <t>)*0,9</t>
  </si>
  <si>
    <t>)*0,85</t>
  </si>
  <si>
    <t>Общестроительные работы</t>
  </si>
  <si>
    <t>Автомобильные дороги</t>
  </si>
  <si>
    <t>Демонтаж и разборка на автомобильных дорогах</t>
  </si>
  <si>
    <t>ФЕР-27</t>
  </si>
  <si>
    <t>Поправка: МР 519/пр п.6.7.1</t>
  </si>
  <si>
    <t>Пр/812-021.0-1</t>
  </si>
  <si>
    <t>Пр/774-021.0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</si>
  <si>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</si>
  <si>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</si>
  <si>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</si>
  <si>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</si>
  <si>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</si>
  <si>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</si>
  <si>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</si>
  <si>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</si>
  <si>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</si>
  <si>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</si>
  <si>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</si>
  <si>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</si>
  <si>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</si>
  <si>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</si>
  <si>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</si>
  <si>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</si>
  <si>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</si>
  <si>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</si>
  <si>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</si>
  <si>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</si>
  <si>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</si>
  <si>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</si>
  <si>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</si>
  <si>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</si>
  <si>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</si>
  <si>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</si>
  <si>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</si>
  <si>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</si>
  <si>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</si>
  <si>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</si>
  <si>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</si>
  <si>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</si>
  <si>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</si>
  <si>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</si>
  <si>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</si>
  <si>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</si>
  <si>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</si>
  <si>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</si>
  <si>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</si>
  <si>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</si>
  <si>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</si>
  <si>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</si>
  <si>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</si>
  <si>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</si>
  <si>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</si>
  <si>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</si>
  <si>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</si>
  <si>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</si>
  <si>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</si>
  <si>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</si>
  <si>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</si>
  <si>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</si>
  <si>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</si>
  <si>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</si>
  <si>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</si>
  <si>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</si>
  <si>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Монтажные работы</t>
  </si>
  <si>
    <t>5</t>
  </si>
  <si>
    <t>47-01-001-02</t>
  </si>
  <si>
    <t>Планировка участка: вручную</t>
  </si>
  <si>
    <t>ФЕР-2001, 47-01-001-02, приказ Минстроя России № 876/пр от 26.12.2019</t>
  </si>
  <si>
    <t>Озеленение. Защитные лесонасаждения</t>
  </si>
  <si>
    <t>ФЕР-47</t>
  </si>
  <si>
    <t>Пр/812-041.0-1</t>
  </si>
  <si>
    <t>Пр/774-041.0</t>
  </si>
  <si>
    <t>6</t>
  </si>
  <si>
    <t>01-02-005-01</t>
  </si>
  <si>
    <t>Уплотнение грунта пневматическими трамбовками, группа грунтов: 1-2</t>
  </si>
  <si>
    <t>ФЕР-2001, 01-02-005-01, приказ Минстроя России № 876/пр от 26.12.2019</t>
  </si>
  <si>
    <t>Земляные работы</t>
  </si>
  <si>
    <t>Земляные работы, выполняемые: механизированным способом</t>
  </si>
  <si>
    <t>ФЕР-01</t>
  </si>
  <si>
    <t>Поправка: М-ка 421/пр 04.08.20 п.58 п.п. б)</t>
  </si>
  <si>
    <t>Пр/812-001.1-1</t>
  </si>
  <si>
    <t>Пр/774-001.1</t>
  </si>
  <si>
    <t>7</t>
  </si>
  <si>
    <t>11-01-005-01</t>
  </si>
  <si>
    <t>Устройство гидроизоляции из полиэтиленовой пленки,: первый слой</t>
  </si>
  <si>
    <t>ФЕР-2001, 11-01-005-01, приказ Минстроя России № 876/пр от 26.12.2019</t>
  </si>
  <si>
    <t>ФЕР-11</t>
  </si>
  <si>
    <t>Пр/812-011.0-1</t>
  </si>
  <si>
    <t>Пр/774-011.0</t>
  </si>
  <si>
    <t>7,1</t>
  </si>
  <si>
    <t>01.2.03.03-0062</t>
  </si>
  <si>
    <t>Мастика битумно-резиновая кровельная</t>
  </si>
  <si>
    <t>ФССЦ-2001, 01.2.03.03-0062, приказ Минстроя России № 876/пр от 26.12.2019</t>
  </si>
  <si>
    <t>7,2</t>
  </si>
  <si>
    <t>01.3.01.01-0001</t>
  </si>
  <si>
    <t>Бензин авиационный Б-70</t>
  </si>
  <si>
    <t>ФССЦ-2001, 01.3.01.01-0001, приказ Минстроя России № 876/пр от 26.12.2019</t>
  </si>
  <si>
    <t>7,3</t>
  </si>
  <si>
    <t>04.3.01.09-0014</t>
  </si>
  <si>
    <t>Раствор готовый кладочный, цементный, М100</t>
  </si>
  <si>
    <t>м3</t>
  </si>
  <si>
    <t>ФССЦ-2001, 04.3.01.09-0014, приказ Минстроя России № 876/пр от 26.12.2019</t>
  </si>
  <si>
    <t>7,4</t>
  </si>
  <si>
    <t>12.1.02.06-0022</t>
  </si>
  <si>
    <t>Рубероид кровельный РКП-350</t>
  </si>
  <si>
    <t>м2</t>
  </si>
  <si>
    <t>ФССЦ-2001, 12.1.02.06-0022, приказ Минстроя России № 876/пр от 26.12.2019</t>
  </si>
  <si>
    <t>7,5</t>
  </si>
  <si>
    <t>14.2.06.02-0001</t>
  </si>
  <si>
    <t>Бутилкаучук, марка А</t>
  </si>
  <si>
    <t>ФССЦ-2001, 14.2.06.02-0001, приказ Минстроя России № 876/пр от 26.12.2019</t>
  </si>
  <si>
    <t>7,6</t>
  </si>
  <si>
    <t>14.4.03.03-0104</t>
  </si>
  <si>
    <t>Лак битумный БТ-783</t>
  </si>
  <si>
    <t>ФССЦ-2001, 14.4.03.03-0104, приказ Минстроя России № 876/пр от 26.12.2019</t>
  </si>
  <si>
    <t>7,7</t>
  </si>
  <si>
    <t>14.5.09.01-0001</t>
  </si>
  <si>
    <t>Ацетон технический, сорт I</t>
  </si>
  <si>
    <t>ФССЦ-2001, 14.5.09.01-0001, приказ Минстроя России № 876/пр от 26.12.2019</t>
  </si>
  <si>
    <t>8</t>
  </si>
  <si>
    <t>06-01-001-01</t>
  </si>
  <si>
    <t>Устройство бетонной подготовки</t>
  </si>
  <si>
    <t>ФЕР-2001, 06-01-001-01, приказ Минстроя России № 876/пр от 26.12.2019</t>
  </si>
  <si>
    <t>Бетонные и железобетонные монолитные конструкции и работы в строительстве</t>
  </si>
  <si>
    <t>ФЕР-06</t>
  </si>
  <si>
    <t>Пр/812-006.0-1</t>
  </si>
  <si>
    <t>Пр/774-006.0</t>
  </si>
  <si>
    <t>8,1</t>
  </si>
  <si>
    <t>04.1.02.05-0009</t>
  </si>
  <si>
    <t>Смеси бетонные тяжелого бетона (БСТ), класс В25 (М350)</t>
  </si>
  <si>
    <t>ФССЦ-2001, 04.1.02.05-0009, приказ Минстроя России № 876/пр от 26.12.2019</t>
  </si>
  <si>
    <t>8,2</t>
  </si>
  <si>
    <t>01.7.08.05-0001</t>
  </si>
  <si>
    <t>Добавка "Суперпластификатор С-3"</t>
  </si>
  <si>
    <t>кг</t>
  </si>
  <si>
    <t>ФССЦ-2001, 01.7.08.05-0001, приказ Минстроя России № 876/пр от 26.12.2019</t>
  </si>
  <si>
    <t>9</t>
  </si>
  <si>
    <t>27-06-009-01</t>
  </si>
  <si>
    <t>Укладка металлической сетки в цементобетонное дорожное покрытие в два слоя (Применительно)</t>
  </si>
  <si>
    <t>1000 м2</t>
  </si>
  <si>
    <t>ФЕР-2001, 27-06-009-01, приказ Минстроя России № 876/пр от 26.12.2019</t>
  </si>
  <si>
    <t>)*2</t>
  </si>
  <si>
    <t>)*1,25)*2</t>
  </si>
  <si>
    <t>)*1,15)*2</t>
  </si>
  <si>
    <t>9,1</t>
  </si>
  <si>
    <t>08.4.02.05-0002</t>
  </si>
  <si>
    <t>Сетка сварная с ячейкой 10 из арматурной стали класса А-I и А-II, диаметр 5 мм</t>
  </si>
  <si>
    <t>ФССЦ-2001, 08.4.02.05-0002, приказ Минстроя России № 876/пр от 26.12.2019</t>
  </si>
  <si>
    <t>10</t>
  </si>
  <si>
    <t>08-01-003-01</t>
  </si>
  <si>
    <t>Гидроизоляция основания: горизонтальная цементная с жидким стеклом (Применительно)</t>
  </si>
  <si>
    <t>ФЕР-2001 доп.6, 08-01-003-01, приказ Минстроя России № 321/пр от 24.05.2021</t>
  </si>
  <si>
    <t>Конструкции из кирпича и блоков</t>
  </si>
  <si>
    <t>ФЕР-08</t>
  </si>
  <si>
    <t>Пр/812-008.0-1</t>
  </si>
  <si>
    <t>Пр/774-008.0</t>
  </si>
  <si>
    <t>10,1</t>
  </si>
  <si>
    <t>04.3.01.09-0001</t>
  </si>
  <si>
    <t>Раствор готовый кладочный цементный тяжелый</t>
  </si>
  <si>
    <t>ФССЦ-2001, 04.3.01.09-0001, приказ Минстроя России № 876/пр от 26.12.2019</t>
  </si>
  <si>
    <t>11</t>
  </si>
  <si>
    <t>27-02-010-01</t>
  </si>
  <si>
    <t>Установка бортовых камней бетонных: при цементобетонных покрытиях</t>
  </si>
  <si>
    <t>ФЕР-2001, 27-02-010-01, приказ Минстроя России № 876/пр от 26.12.2019</t>
  </si>
  <si>
    <t>12</t>
  </si>
  <si>
    <t>27-07-012-01</t>
  </si>
  <si>
    <t>Устройство покрытий из гранитных  трермообраборатнных плит (Применительно)</t>
  </si>
  <si>
    <t>ФЕР-2001 доп. 2, 27-07-012-01, приказ Минстроя России № 294/пр от 01.06.2020</t>
  </si>
  <si>
    <t>12,1</t>
  </si>
  <si>
    <t>13.2.04.03-0001</t>
  </si>
  <si>
    <t>Плиты облицовочные, гранитные, класс 1,  толщина 30 мм</t>
  </si>
  <si>
    <t>ФССЦ-2001, 13.2.04.03-0001, приказ Минстроя России № 876/пр от 26.12.2019</t>
  </si>
  <si>
    <t>12,2</t>
  </si>
  <si>
    <t>14.1.06.02-0010</t>
  </si>
  <si>
    <t>Клей для плитки Ветонит "Клей для мраморной плитки"</t>
  </si>
  <si>
    <t>ФССЦ-2001, 14.1.06.02-0010, приказ Минстроя России № 876/пр от 26.12.2019</t>
  </si>
  <si>
    <t>12,3</t>
  </si>
  <si>
    <t>04.3.02.09-0102</t>
  </si>
  <si>
    <t>Смеси сухие водостойкие для затирки межплиточных швов шириной 1-6 мм (различная цветовая гамма)</t>
  </si>
  <si>
    <t>ФССЦ-2001, 04.3.02.09-0102, приказ Минстроя России № 876/пр от 26.12.2019</t>
  </si>
  <si>
    <t>13</t>
  </si>
  <si>
    <t>11-01-047-01</t>
  </si>
  <si>
    <t>Устройство покрытий из плит керамогранитных размером: 40х40 см</t>
  </si>
  <si>
    <t>ФЕР-2001 доп.6, 11-01-047-01, приказ Минстроя России № 321/пр от 24.05.2021</t>
  </si>
  <si>
    <t>13,1</t>
  </si>
  <si>
    <t>06.2.05.03-0003</t>
  </si>
  <si>
    <t>Плитка керамогранитная, размер 400x400x9 мм</t>
  </si>
  <si>
    <t>ФССЦ-2001, 06.2.05.03-0003, приказ Минстроя России № 876/пр от 26.12.2019</t>
  </si>
  <si>
    <t>13,2</t>
  </si>
  <si>
    <t>11.2.04.05-0003</t>
  </si>
  <si>
    <t>Рейки дубовые, толщина 5-7 мм</t>
  </si>
  <si>
    <t>ФССЦ-2001, 11.2.04.05-0003, приказ Минстроя России № 876/пр от 26.12.2019</t>
  </si>
  <si>
    <t>13,3</t>
  </si>
  <si>
    <t>14.1.06.02-0002</t>
  </si>
  <si>
    <t>Клей для плитки (сухая смесь)</t>
  </si>
  <si>
    <t>ФССЦ-2001, 14.1.06.02-0002, приказ Минстроя России № 876/пр от 26.12.2019</t>
  </si>
  <si>
    <t>13,4</t>
  </si>
  <si>
    <t>14.4.01.02-0012</t>
  </si>
  <si>
    <t>Грунтовка укрепляющая, глубокого проникновения, быстросохнущая, паропроницаемая</t>
  </si>
  <si>
    <t>ФССЦ-2001, 14.4.01.02-0012, приказ Минстроя России № 876/пр от 26.12.2019</t>
  </si>
  <si>
    <t>Новый раздел</t>
  </si>
  <si>
    <t>Разные работы</t>
  </si>
  <si>
    <t>14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</si>
  <si>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</si>
  <si>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</si>
  <si>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</si>
  <si>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</si>
  <si>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</si>
  <si>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</si>
  <si>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15</t>
  </si>
  <si>
    <t>т03-01-01-061</t>
  </si>
  <si>
    <t>Перевозка грузов I класса автомобилями бортовыми грузоподъемностью до 15 т на расстояние: до 61 км</t>
  </si>
  <si>
    <t>ФССЦпг-2001, т03-01-01-061,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</si>
  <si>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</si>
  <si>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</si>
  <si>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</si>
  <si>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</si>
  <si>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 2</t>
  </si>
  <si>
    <t>НДС 20%</t>
  </si>
  <si>
    <t>Всего по смете</t>
  </si>
  <si>
    <t>ВСЕГО ПО СМЕТЕ</t>
  </si>
  <si>
    <t>Итого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</si>
  <si>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</si>
  <si>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</si>
  <si>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</si>
  <si>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</si>
  <si>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</si>
  <si>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</si>
  <si>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</si>
  <si>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</si>
  <si>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</si>
  <si>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</si>
  <si>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</si>
  <si>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</si>
  <si>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</si>
  <si>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</si>
  <si>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</si>
  <si>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</si>
  <si>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</si>
  <si>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</si>
  <si>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</si>
  <si>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</si>
  <si>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</si>
  <si>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</si>
  <si>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</si>
  <si>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</si>
  <si>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</si>
  <si>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</si>
  <si>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</si>
  <si>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</si>
  <si>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</si>
  <si>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</si>
  <si>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</si>
  <si>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</si>
  <si>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</si>
  <si>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</si>
  <si>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</si>
  <si>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</si>
  <si>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</si>
  <si>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</si>
  <si>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</si>
  <si>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</si>
  <si>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</si>
  <si>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</si>
  <si>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</si>
  <si>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</si>
  <si>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</si>
  <si>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</si>
  <si>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</si>
  <si>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</si>
  <si>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</si>
  <si>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</si>
  <si>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</si>
  <si>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</si>
  <si>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</si>
  <si>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</si>
  <si>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</si>
  <si>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</si>
  <si>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</si>
  <si>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</si>
  <si>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</si>
  <si>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</si>
  <si>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</si>
  <si>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</si>
  <si>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</si>
  <si>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</si>
  <si>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</si>
  <si>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</si>
  <si>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</si>
  <si>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</si>
  <si>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</si>
  <si>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</si>
  <si>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</si>
  <si>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</si>
  <si>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</si>
  <si>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1-100-30</t>
  </si>
  <si>
    <t>Затраты труда рабочих (Средний разряд - 3)</t>
  </si>
  <si>
    <t>чел.-ч.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</si>
  <si>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</si>
  <si>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</si>
  <si>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</si>
  <si>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</si>
  <si>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</si>
  <si>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</si>
  <si>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1-100-17</t>
  </si>
  <si>
    <t>Рабочий среднего разряда 1.7</t>
  </si>
  <si>
    <t>1-100-24</t>
  </si>
  <si>
    <t>Рабочий среднего разряда 2.4</t>
  </si>
  <si>
    <t>91.01.01-035</t>
  </si>
  <si>
    <t>ФСЭМ-2001, 91.01.01-035 , приказ Минстроя России № 876/пр от 26.12.2019</t>
  </si>
  <si>
    <t>Бульдозеры, мощность 79 кВт (108 л.с.)</t>
  </si>
  <si>
    <t>маш.-ч</t>
  </si>
  <si>
    <t>91.01.05-086</t>
  </si>
  <si>
    <t>ФСЭМ-2001, 91.01.05-086 , приказ Минстроя России № 876/пр от 26.12.2019</t>
  </si>
  <si>
    <t>Экскаваторы одноковшовые дизельные на гусеничном ходу, емкость ковша 0,65 м3</t>
  </si>
  <si>
    <t>91.12.06-012</t>
  </si>
  <si>
    <t>ФСЭМ-2001, 91.12.06-012 , приказ Минстроя России № 876/пр от 26.12.2019</t>
  </si>
  <si>
    <t>Рыхлители прицепные (без трактора)</t>
  </si>
  <si>
    <t>1-100-23</t>
  </si>
  <si>
    <t>Затраты труда рабочих (Средний разряд - 2,3)</t>
  </si>
  <si>
    <t>1-100-20</t>
  </si>
  <si>
    <t>Затраты труда рабочих (Средний разряд - 2)</t>
  </si>
  <si>
    <t>91.08.09-023</t>
  </si>
  <si>
    <t>ФСЭМ-2001, 91.08.09-023 , приказ Минстроя России № 876/пр от 26.12.2019</t>
  </si>
  <si>
    <t>Трамбовки пневматические при работе от передвижных компрессорных станций</t>
  </si>
  <si>
    <t>91.18.01-007</t>
  </si>
  <si>
    <t>ФСЭМ-2001, 91.18.01-007 , приказ Минстроя России № 876/пр от 26.12.2019</t>
  </si>
  <si>
    <t>Компрессоры передвижные с двигателем внутреннего сгорания, давление до 686 кПа (7 ат), производительность до 5 м3/мин</t>
  </si>
  <si>
    <t>1-100-44</t>
  </si>
  <si>
    <t>Затраты труда рабочих (Средний разряд - 4,4)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</si>
  <si>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</si>
  <si>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</si>
  <si>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</si>
  <si>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91.21.22-421</t>
  </si>
  <si>
    <t>ФСЭМ-2001, 91.21.22-421 , приказ Минстроя России № 876/пр от 26.12.2019</t>
  </si>
  <si>
    <t>Термосы 100 л</t>
  </si>
  <si>
    <t>91.21.22-446</t>
  </si>
  <si>
    <t>ФСЭМ-2001, 91.21.22-446 , приказ Минстроя России № 876/пр от 26.12.2019</t>
  </si>
  <si>
    <t>Установки для сварки полиэтиленовой пленки</t>
  </si>
  <si>
    <t>01.7.07.12-0022</t>
  </si>
  <si>
    <t>ФССЦ-2001, 01.7.07.12-0022, приказ Минстроя России № 876/пр от 26.12.2019</t>
  </si>
  <si>
    <t>Пленка полиэтиленовая, толщина 0,2-0,5 мм</t>
  </si>
  <si>
    <t>01.7.20.08-0051</t>
  </si>
  <si>
    <t>ФССЦ-2001, 01.7.20.08-0051, приказ Минстроя России № 876/пр от 26.12.2019</t>
  </si>
  <si>
    <t>Ветошь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</si>
  <si>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</si>
  <si>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</si>
  <si>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</si>
  <si>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91.07.04-002</t>
  </si>
  <si>
    <t>ФСЭМ-2001, 91.07.04-002 , приказ Минстроя России № 876/пр от 26.12.2019</t>
  </si>
  <si>
    <t>Вибраторы поверхностные</t>
  </si>
  <si>
    <t>01.7.03.01-0001</t>
  </si>
  <si>
    <t>ФССЦ-2001, 01.7.03.01-0001, приказ Минстроя России № 876/пр от 26.12.2019</t>
  </si>
  <si>
    <t>Вода</t>
  </si>
  <si>
    <t>01.7.07.12-0024</t>
  </si>
  <si>
    <t>ФССЦ-2001, 01.7.07.12-0024, приказ Минстроя России № 876/пр от 26.12.2019</t>
  </si>
  <si>
    <t>Пленка полиэтиленовая, толщина 0,15 мм</t>
  </si>
  <si>
    <t>1-100-35</t>
  </si>
  <si>
    <t>Рабочий среднего разряда 3.5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</si>
  <si>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</si>
  <si>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</si>
  <si>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</si>
  <si>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01.8.01.07-0001</t>
  </si>
  <si>
    <t>ФССЦ-2001, 01.8.01.07-0001, приказ Минстроя России № 876/пр от 26.12.2019</t>
  </si>
  <si>
    <t>Стекло жидкое калийное</t>
  </si>
  <si>
    <t>1-100-29</t>
  </si>
  <si>
    <t>Рабочий среднего разряда 2.9</t>
  </si>
  <si>
    <t>91.05.05-014</t>
  </si>
  <si>
    <t>ФСЭМ-2001, 91.05.05-014 , приказ Минстроя России № 876/пр от 26.12.2019</t>
  </si>
  <si>
    <t>Краны на автомобильном ходу, грузоподъемность 10 т</t>
  </si>
  <si>
    <t>01.7.15.06-0111</t>
  </si>
  <si>
    <t>ФССЦ-2001, 01.7.15.06-0111, приказ Минстроя России № 876/пр от 26.12.2019</t>
  </si>
  <si>
    <t>Гвозди строительные</t>
  </si>
  <si>
    <t>04.1.02.05-0006</t>
  </si>
  <si>
    <t>ФССЦ-2001, 04.1.02.05-0006, приказ Минстроя России № 876/пр от 26.12.2019</t>
  </si>
  <si>
    <t>Смеси бетонные тяжелого бетона (БСТ), класс В15 (М200)</t>
  </si>
  <si>
    <t>11.1.03.03-0012</t>
  </si>
  <si>
    <t>ФССЦ-2001, 11.1.03.03-0012, приказ Минстроя России № 876/пр от 26.12.2019</t>
  </si>
  <si>
    <t>Брусья необрезные, хвойных пород, длина 4-6,5 м, все ширины, толщина 100, 125 мм, сорт IV</t>
  </si>
  <si>
    <t>1-100-33</t>
  </si>
  <si>
    <t>Рабочий среднего разряда 3.3</t>
  </si>
  <si>
    <t>91.06.05-012</t>
  </si>
  <si>
    <t>ФСЭМ-2001, 91.06.05-012 , приказ Минстроя России № 876/пр от 26.12.2019</t>
  </si>
  <si>
    <t>Погрузчики с вилочными подхватами, грузоподъемность 1 т</t>
  </si>
  <si>
    <t>91.08.09-001</t>
  </si>
  <si>
    <t>ФСЭМ-2001, 91.08.09-001 , приказ Минстроя России № 876/пр от 26.12.2019</t>
  </si>
  <si>
    <t>Виброплиты с двигателем внутреннего сгорания</t>
  </si>
  <si>
    <t>91.13.01-038</t>
  </si>
  <si>
    <t>ФСЭМ-2001, 91.13.01-038 , приказ Минстроя России № 876/пр от 26.12.2019</t>
  </si>
  <si>
    <t>Машины поливомоечные 6000 л</t>
  </si>
  <si>
    <t>1-100-32</t>
  </si>
  <si>
    <t>Затраты труда рабочих (Средний разряд - 3,2)</t>
  </si>
  <si>
    <t>91.05.01-016</t>
  </si>
  <si>
    <t>ФСЭМ-2001, 91.05.01-016 , приказ Минстроя России № 876/пр от 26.12.2019</t>
  </si>
  <si>
    <t>Краны башенные, грузоподъемность 5 т</t>
  </si>
  <si>
    <t>91.07.08-024</t>
  </si>
  <si>
    <t>ФСЭМ-2001, 91.07.08-024 , приказ Минстроя России № 876/пр от 26.12.2019</t>
  </si>
  <si>
    <t>Растворосмесители передвижные, объем барабана 65 л</t>
  </si>
  <si>
    <t>04.1.02.05</t>
  </si>
  <si>
    <t>Смеси бетонные тяжелого бетона</t>
  </si>
  <si>
    <t>08.4.02.05</t>
  </si>
  <si>
    <t>Сетка сварная из холоднотянутой проволоки 5 мм</t>
  </si>
  <si>
    <t>04.3.01.09</t>
  </si>
  <si>
    <t>Раствор готовый кладочный</t>
  </si>
  <si>
    <t>13.2.03.02</t>
  </si>
  <si>
    <t>Камни бортовые</t>
  </si>
  <si>
    <t>м</t>
  </si>
  <si>
    <t>04.3.02.13</t>
  </si>
  <si>
    <t>Смеси цементно-песчаные</t>
  </si>
  <si>
    <t>13.2.04.02</t>
  </si>
  <si>
    <t>Плиты гранитные</t>
  </si>
  <si>
    <t>06.2.05.03</t>
  </si>
  <si>
    <t>Плиты керамогранитные 400х400 мм</t>
  </si>
  <si>
    <t>11.2.04.05</t>
  </si>
  <si>
    <t>Рейки деревянные</t>
  </si>
  <si>
    <t>14.1.06.02</t>
  </si>
  <si>
    <t>Клей для облицовочных работ (сухая смесь)</t>
  </si>
  <si>
    <t>14.4.01.21</t>
  </si>
  <si>
    <t>Грунтовка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</si>
  <si>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</si>
  <si>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</si>
  <si>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</si>
  <si>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</si>
  <si>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</si>
  <si>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</si>
  <si>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</si>
  <si>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</si>
  <si>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</si>
  <si>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</si>
  <si>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</si>
  <si>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</si>
  <si>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</si>
  <si>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</si>
  <si>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</si>
  <si>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</si>
  <si>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</si>
  <si>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</si>
  <si>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</si>
  <si>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</si>
  <si>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</si>
  <si>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</si>
  <si>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</si>
  <si>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</si>
  <si>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</si>
  <si>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</si>
  <si>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</si>
  <si>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</si>
  <si>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</si>
  <si>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</si>
  <si>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</si>
  <si>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</si>
  <si>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</si>
  <si>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</si>
  <si>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</si>
  <si>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</si>
  <si>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</si>
  <si>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</si>
  <si>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</si>
  <si>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</si>
  <si>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</si>
  <si>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 квартал 2023 года (1.01.2000)</t>
  </si>
  <si>
    <t>Раздел: Демонтажные работы</t>
  </si>
  <si>
    <t>ОТ</t>
  </si>
  <si>
    <t>ЭМ</t>
  </si>
  <si>
    <t>в т.ч. ОТм</t>
  </si>
  <si>
    <t>ЗТ</t>
  </si>
  <si>
    <t>чел-ч</t>
  </si>
  <si>
    <t>ЗТм</t>
  </si>
  <si>
    <t>Итого по расценке</t>
  </si>
  <si>
    <t>ФОТ</t>
  </si>
  <si>
    <t>НР Полы</t>
  </si>
  <si>
    <t>%</t>
  </si>
  <si>
    <t>СП Полы</t>
  </si>
  <si>
    <t>Всего по позиции</t>
  </si>
  <si>
    <t>НР Благоустройство</t>
  </si>
  <si>
    <t>СП Благоустройство</t>
  </si>
  <si>
    <r>
      <t>Разборка бортовых камней: на бетонном основании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</si>
  <si>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Пр/812-021.0-1;
п.25</t>
  </si>
  <si>
    <t>НР Автомобильные дороги</t>
  </si>
  <si>
    <t>Пр/774-021.0;
п.16</t>
  </si>
  <si>
    <t>СП Автомобильные дороги</t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</si>
  <si>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</si>
  <si>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</si>
  <si>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</si>
  <si>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</si>
  <si>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</si>
  <si>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</si>
  <si>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</si>
  <si>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</si>
  <si>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</si>
  <si>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</si>
  <si>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</si>
  <si>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</si>
  <si>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</si>
  <si>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</si>
  <si>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</si>
  <si>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t>НР Озеленение. Защитные лесонасаждения</t>
  </si>
  <si>
    <t>СП Озеленение. Защитные лесонасаждения</t>
  </si>
  <si>
    <r>
      <t>Уплотнение грунта пневматическими трамбовками, группа грунтов: 1-2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</si>
  <si>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Пр/812-001.1-1;
п.25</t>
  </si>
  <si>
    <t>НР Земляные работы, выполняемые: механизированным способом</t>
  </si>
  <si>
    <t>Пр/774-001.1;
п.16</t>
  </si>
  <si>
    <t>СП Земляные работы, выполняемые: механизированным способом</t>
  </si>
  <si>
    <r>
      <t>Устройство гидроизоляции из полиэтиленовой пленки,: первый слой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</si>
  <si>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М</t>
  </si>
  <si>
    <t>Исключен
Мастика битумно-резиновая кровельная</t>
  </si>
  <si>
    <t>Исключен
Бензин авиационный Б-70</t>
  </si>
  <si>
    <t>Исключен
Раствор готовый кладочный, цементный, М100</t>
  </si>
  <si>
    <t>Исключен
Рубероид кровельный РКП-350</t>
  </si>
  <si>
    <t>Исключен
Бутилкаучук, марка А</t>
  </si>
  <si>
    <t>Исключен
Лак битумный БТ-783</t>
  </si>
  <si>
    <t>Исключен
Ацетон технический, сорт I</t>
  </si>
  <si>
    <t>Пр/812-011.0-1;
п.25</t>
  </si>
  <si>
    <t>Пр/774-011.0;
п.16</t>
  </si>
  <si>
    <r>
      <t>Устройство бетонной подготовки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</si>
  <si>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Пр/812-006.0-1;
п.25</t>
  </si>
  <si>
    <t>НР Бетонные и железобетонные монолитные конструкции и работы в строительстве</t>
  </si>
  <si>
    <t>Пр/774-006.0;
п.16</t>
  </si>
  <si>
    <t>СП Бетонные и железобетонные монолитные конструкции и работы в строительстве</t>
  </si>
  <si>
    <r>
      <t>Укладка металлической сетки в цементобетонное дорожное покрытие в два слоя (Применительно)</t>
    </r>
    <r>
      <rPr>
        <i/>
        <sz val="10"/>
        <rFont val="Arial"/>
        <family val="2"/>
      </rPr>
      <t xml:space="preserve">
Поправки к: 
М )*2;   
ЭМ )*1,25)*2;   
ОТм )*1,25)*2;   
ОТ )*1,15)*2;   
ЗТ )*1,15)*2;   
ЗТм )*1,25)*2;   
НР )*0,9;   
СП )*0,85</t>
    </r>
  </si>
  <si>
    <r>
      <t>Гидроизоляция основания: горизонтальная цементная с жидким стеклом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</si>
  <si>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Пр/812-008.0-1;
п.25</t>
  </si>
  <si>
    <t>НР Конструкции из кирпича и блоков</t>
  </si>
  <si>
    <t>Пр/774-008.0;
п.16</t>
  </si>
  <si>
    <t>СП Конструкции из кирпича и блоков</t>
  </si>
  <si>
    <r>
      <t>Установка бортовых камней бетонных: при цементобетонных покрытиях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</si>
  <si>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покрытий из гранитных  трермообраборатнных плит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</si>
  <si>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покрытий из плит керамогранитных размером: 40х40 см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</si>
  <si>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Раздел: Разные работы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</si>
  <si>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</si>
  <si>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</si>
  <si>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</si>
  <si>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</si>
  <si>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</si>
  <si>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</si>
  <si>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</si>
  <si>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</si>
  <si>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</si>
  <si>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</si>
  <si>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</si>
  <si>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</si>
  <si>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</si>
  <si>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</si>
  <si>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</si>
  <si>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</si>
  <si>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</si>
  <si>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</si>
  <si>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</si>
  <si>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</si>
  <si>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</si>
  <si>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</si>
  <si>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</si>
  <si>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</si>
  <si>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</si>
  <si>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Локальный сметный расчет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</si>
</sst>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165" fontId="1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15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5" fontId="17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5"/>
  <sheetViews>
    <sheetView tabSelected="1" zoomScalePageLayoutView="0" workbookViewId="0" topLeftCell="A296">
      <selection activeCell="CW324" sqref="CW32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1" width="0" style="0" hidden="1" customWidth="1"/>
    <col min="92" max="92" width="171.7109375" style="0" hidden="1" customWidth="1"/>
    <col min="93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37" t="s">
        <v>481</v>
      </c>
      <c r="C3" s="137"/>
      <c r="D3" s="137"/>
      <c r="E3" s="137"/>
      <c r="F3" s="14"/>
      <c r="G3" s="14"/>
      <c r="H3" s="137" t="s">
        <v>482</v>
      </c>
      <c r="I3" s="137"/>
      <c r="J3" s="137"/>
      <c r="K3" s="137"/>
      <c r="L3" s="137"/>
    </row>
    <row r="4" spans="1:12" ht="14.25">
      <c r="A4" s="14"/>
      <c r="B4" s="111"/>
      <c r="C4" s="111"/>
      <c r="D4" s="111"/>
      <c r="E4" s="111"/>
      <c r="F4" s="14"/>
      <c r="G4" s="14"/>
      <c r="H4" s="111" t="s">
        <v>484</v>
      </c>
      <c r="I4" s="111"/>
      <c r="J4" s="111"/>
      <c r="K4" s="111"/>
      <c r="L4" s="111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11" t="str">
        <f>CONCATENATE("______________________ ",IF(Source!AL12&lt;&gt;"",Source!AL12,""))</f>
        <v>______________________ </v>
      </c>
      <c r="C6" s="111"/>
      <c r="D6" s="111"/>
      <c r="E6" s="111"/>
      <c r="F6" s="14"/>
      <c r="G6" s="14"/>
      <c r="H6" s="111" t="str">
        <f>CONCATENATE("______________________ ",IF(Source!AH12&lt;&gt;"",Source!AH12,""))</f>
        <v>______________________ Муравьев К.В.</v>
      </c>
      <c r="I6" s="111"/>
      <c r="J6" s="111"/>
      <c r="K6" s="111"/>
      <c r="L6" s="111"/>
    </row>
    <row r="7" spans="1:12" ht="14.25">
      <c r="A7" s="18"/>
      <c r="B7" s="134" t="s">
        <v>483</v>
      </c>
      <c r="C7" s="134"/>
      <c r="D7" s="134"/>
      <c r="E7" s="134"/>
      <c r="F7" s="14"/>
      <c r="G7" s="14"/>
      <c r="H7" s="134" t="s">
        <v>483</v>
      </c>
      <c r="I7" s="134"/>
      <c r="J7" s="134"/>
      <c r="K7" s="134"/>
      <c r="L7" s="134"/>
    </row>
    <row r="10" spans="1:94" ht="38.25">
      <c r="A10" s="135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CP10" s="76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35" t="s">
        <v>518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5" spans="1:12" ht="15.75">
      <c r="A15" s="18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8"/>
    </row>
    <row r="16" spans="1:12" ht="14.25">
      <c r="A16" s="20"/>
      <c r="B16" s="132" t="s">
        <v>485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92" ht="15.75">
      <c r="A18" s="14"/>
      <c r="B18" s="136" t="str">
        <f>IF(Source!G12&lt;&gt;"Новый объект",Source!G12,"")</f>
        <v>Выполнение работ по текущему ремонту гранитной облицовки пола ИПУ РАН (главный вход, стрение 2)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4"/>
      <c r="CN18" s="77" t="str">
        <f>IF(Source!G12&lt;&gt;"Новый объект",Source!G12,"")</f>
        <v>Выполнение работ по текущему ремонту гранитной облицовки пола ИПУ РАН (главный вход, стрение 2)</v>
      </c>
    </row>
    <row r="19" spans="1:12" ht="14.25">
      <c r="A19" s="14"/>
      <c r="B19" s="132" t="s">
        <v>486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38" t="s">
        <v>614</v>
      </c>
      <c r="C21" s="138"/>
      <c r="D21" s="138"/>
      <c r="E21" s="138"/>
      <c r="F21" s="138"/>
      <c r="G21" s="138"/>
      <c r="H21" s="138"/>
      <c r="I21" s="138"/>
      <c r="J21" s="138"/>
      <c r="K21" s="138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31">
        <f>IF(Source!G20&lt;&gt;"Новая локальная смета",Source!G20,"")</f>
      </c>
      <c r="C23" s="131"/>
      <c r="D23" s="131"/>
      <c r="E23" s="131"/>
      <c r="F23" s="131"/>
      <c r="G23" s="131"/>
      <c r="H23" s="131"/>
      <c r="I23" s="131"/>
      <c r="J23" s="131"/>
      <c r="K23" s="131"/>
      <c r="L23" s="24"/>
    </row>
    <row r="24" spans="1:12" ht="14.25">
      <c r="A24" s="14"/>
      <c r="B24" s="132" t="s">
        <v>487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488</v>
      </c>
      <c r="B27" s="11"/>
      <c r="C27" s="25" t="s">
        <v>519</v>
      </c>
      <c r="D27" s="11" t="s">
        <v>489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490</v>
      </c>
      <c r="B29" s="11"/>
      <c r="C29" s="133"/>
      <c r="D29" s="133"/>
      <c r="E29" s="133"/>
      <c r="F29" s="133"/>
      <c r="G29" s="133"/>
      <c r="H29" s="11"/>
      <c r="I29" s="11"/>
      <c r="J29" s="11"/>
      <c r="K29" s="11"/>
      <c r="L29" s="26"/>
    </row>
    <row r="30" spans="1:12" ht="12.75">
      <c r="A30" s="27"/>
      <c r="B30" s="28"/>
      <c r="C30" s="127" t="s">
        <v>491</v>
      </c>
      <c r="D30" s="127"/>
      <c r="E30" s="127"/>
      <c r="F30" s="127"/>
      <c r="G30" s="127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520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492</v>
      </c>
      <c r="B34" s="14"/>
      <c r="C34" s="52">
        <f>C37+C38+C39+C40</f>
        <v>1916.03</v>
      </c>
      <c r="D34" s="128">
        <f>D37+D38+D39+D40</f>
        <v>162.41</v>
      </c>
      <c r="E34" s="129"/>
      <c r="F34" s="33" t="s">
        <v>493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3"/>
      <c r="E35" s="34"/>
      <c r="F35" s="33"/>
      <c r="G35" s="33" t="s">
        <v>494</v>
      </c>
      <c r="H35" s="34"/>
      <c r="I35" s="34"/>
      <c r="J35" s="34"/>
      <c r="K35" s="14"/>
      <c r="L35" s="14"/>
    </row>
    <row r="36" spans="1:12" ht="14.25">
      <c r="A36" s="14"/>
      <c r="B36" s="35" t="s">
        <v>495</v>
      </c>
      <c r="C36" s="44"/>
      <c r="D36" s="53"/>
      <c r="E36" s="36"/>
      <c r="F36" s="33"/>
      <c r="G36" s="33" t="s">
        <v>496</v>
      </c>
      <c r="H36" s="34" t="s">
        <v>497</v>
      </c>
      <c r="I36" s="37">
        <f>ROUND((SUM(U47:U318))/1000,2)</f>
        <v>320.38</v>
      </c>
      <c r="J36" s="37">
        <f>ROUND((SUM(Q47:Q318))/1000,2)</f>
        <v>8.78</v>
      </c>
      <c r="K36" s="11" t="s">
        <v>493</v>
      </c>
      <c r="L36" s="14"/>
    </row>
    <row r="37" spans="1:12" ht="14.25">
      <c r="A37" s="14"/>
      <c r="B37" s="30" t="s">
        <v>498</v>
      </c>
      <c r="C37" s="52">
        <f>ROUND((ROUND(SUM(AO47:AO318)*Source!D300,2)+ROUND(SUM(AP47:AP318)*Source!E300,2)+ROUND(SUM(AQ47:AQ318)*Source!G300,2)+ROUND(SUM(AR47:AR318)*Source!L300,2)+SUM(AS47:AS318)+SUM(AT47:AT318))/1000,2)</f>
        <v>1916.03</v>
      </c>
      <c r="D37" s="128">
        <f>ROUND((SUM(AN47:AN318)+SUM(AR47:AR318))/1000,2)</f>
        <v>162.41</v>
      </c>
      <c r="E37" s="129"/>
      <c r="F37" s="33" t="s">
        <v>493</v>
      </c>
      <c r="G37" s="33" t="s">
        <v>499</v>
      </c>
      <c r="H37" s="34"/>
      <c r="I37" s="33"/>
      <c r="J37" s="54">
        <f>Source!P222</f>
        <v>970.8064895</v>
      </c>
      <c r="K37" s="11" t="s">
        <v>357</v>
      </c>
      <c r="L37" s="14"/>
    </row>
    <row r="38" spans="1:12" ht="14.25">
      <c r="A38" s="14"/>
      <c r="B38" s="30" t="s">
        <v>500</v>
      </c>
      <c r="C38" s="52">
        <f>ROUND((ROUND(SUM(AY47:AY318)*Source!D300,2)+ROUND(SUM(AZ47:AZ318)*Source!E300,2)+ROUND(SUM(BA47:BA318)*Source!G300,2)+ROUND(SUM(BB47:BB318)*Source!L300,2)+SUM(BC47:BC318)+SUM(BD47:BD318))/1000,2)</f>
        <v>0</v>
      </c>
      <c r="D38" s="128">
        <f>ROUND((SUM(AX47:AX318)+SUM(BB47:BB318))/1000,2)</f>
        <v>0</v>
      </c>
      <c r="E38" s="129"/>
      <c r="F38" s="33" t="s">
        <v>493</v>
      </c>
      <c r="G38" s="33" t="s">
        <v>501</v>
      </c>
      <c r="H38" s="34"/>
      <c r="I38" s="33"/>
      <c r="J38" s="54">
        <f>Source!P223</f>
        <v>28.759895</v>
      </c>
      <c r="K38" s="11" t="s">
        <v>357</v>
      </c>
      <c r="L38" s="14"/>
    </row>
    <row r="39" spans="1:12" ht="14.25">
      <c r="A39" s="14"/>
      <c r="B39" s="30" t="s">
        <v>502</v>
      </c>
      <c r="C39" s="52">
        <f>ROUND((ROUND(SUM(BH47:BH318)*Source!H300,2)+ROUND(SUM(BI47:BI318)*Source!L300,2))/1000,2)</f>
        <v>0</v>
      </c>
      <c r="D39" s="128">
        <f>ROUND((SUM(BH47:BH318)+SUM(BI47:BI318))/1000,2)</f>
        <v>0</v>
      </c>
      <c r="E39" s="129"/>
      <c r="F39" s="33" t="s">
        <v>493</v>
      </c>
      <c r="G39" s="33" t="s">
        <v>503</v>
      </c>
      <c r="H39" s="34"/>
      <c r="I39" s="33"/>
      <c r="J39" s="38"/>
      <c r="K39" s="14"/>
      <c r="L39" s="14"/>
    </row>
    <row r="40" spans="1:12" ht="14.25">
      <c r="A40" s="14"/>
      <c r="B40" s="30" t="s">
        <v>504</v>
      </c>
      <c r="C40" s="52">
        <f>ROUND((ROUND(SUM(BM47:BM318)*Source!I300,2)+SUM(BU47:BU318)+ROUND(SUM(BO47:BO318)*Source!H300,2)+ROUND(SUM(BP47:BP318)*Source!L300,2))/1000,2)</f>
        <v>0</v>
      </c>
      <c r="D40" s="128">
        <f>ROUND((SUM(BM47:BM318)+SUM(BN47:BN318)+SUM(BO47:BO318)+SUM(BP47:BP318))/1000,2)</f>
        <v>0</v>
      </c>
      <c r="E40" s="130"/>
      <c r="F40" s="33" t="s">
        <v>493</v>
      </c>
      <c r="G40" s="33" t="s">
        <v>505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15" t="s">
        <v>506</v>
      </c>
      <c r="B42" s="115" t="s">
        <v>507</v>
      </c>
      <c r="C42" s="115" t="s">
        <v>508</v>
      </c>
      <c r="D42" s="115" t="s">
        <v>509</v>
      </c>
      <c r="E42" s="118" t="s">
        <v>510</v>
      </c>
      <c r="F42" s="119"/>
      <c r="G42" s="120"/>
      <c r="H42" s="118" t="s">
        <v>511</v>
      </c>
      <c r="I42" s="119"/>
      <c r="J42" s="120"/>
      <c r="K42" s="115" t="s">
        <v>512</v>
      </c>
      <c r="L42" s="115" t="s">
        <v>513</v>
      </c>
    </row>
    <row r="43" spans="1:12" ht="12.75">
      <c r="A43" s="116"/>
      <c r="B43" s="116"/>
      <c r="C43" s="116"/>
      <c r="D43" s="116"/>
      <c r="E43" s="121"/>
      <c r="F43" s="122"/>
      <c r="G43" s="123"/>
      <c r="H43" s="121"/>
      <c r="I43" s="122"/>
      <c r="J43" s="123"/>
      <c r="K43" s="116"/>
      <c r="L43" s="116"/>
    </row>
    <row r="44" spans="1:12" ht="12.75">
      <c r="A44" s="116"/>
      <c r="B44" s="116"/>
      <c r="C44" s="116"/>
      <c r="D44" s="116"/>
      <c r="E44" s="124"/>
      <c r="F44" s="125"/>
      <c r="G44" s="126"/>
      <c r="H44" s="124"/>
      <c r="I44" s="125"/>
      <c r="J44" s="126"/>
      <c r="K44" s="116"/>
      <c r="L44" s="116"/>
    </row>
    <row r="45" spans="1:12" ht="25.5">
      <c r="A45" s="117"/>
      <c r="B45" s="117"/>
      <c r="C45" s="117"/>
      <c r="D45" s="117"/>
      <c r="E45" s="40" t="s">
        <v>514</v>
      </c>
      <c r="F45" s="40" t="s">
        <v>515</v>
      </c>
      <c r="G45" s="40" t="s">
        <v>516</v>
      </c>
      <c r="H45" s="40" t="s">
        <v>514</v>
      </c>
      <c r="I45" s="40" t="s">
        <v>515</v>
      </c>
      <c r="J45" s="40" t="s">
        <v>517</v>
      </c>
      <c r="K45" s="117"/>
      <c r="L45" s="117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09" t="s">
        <v>521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56" ht="28.5">
      <c r="A49" s="73">
        <v>1</v>
      </c>
      <c r="B49" s="73" t="str">
        <f>Source!F29</f>
        <v>57-2-3</v>
      </c>
      <c r="C49" s="73" t="str">
        <f>Source!G29</f>
        <v>Разборка покрытий полов: из керамических плиток</v>
      </c>
      <c r="D49" s="56" t="str">
        <f>Source!H29</f>
        <v>100 м2</v>
      </c>
      <c r="E49" s="51">
        <f>Source!K29</f>
        <v>0.22</v>
      </c>
      <c r="F49" s="51"/>
      <c r="G49" s="51">
        <f>Source!I29</f>
        <v>0.22</v>
      </c>
      <c r="H49" s="49"/>
      <c r="I49" s="57"/>
      <c r="J49" s="49"/>
      <c r="K49" s="57"/>
      <c r="L49" s="49"/>
      <c r="AG49">
        <f>Source!X29</f>
        <v>120.51</v>
      </c>
      <c r="AH49">
        <f>Source!HK29</f>
        <v>4394.86</v>
      </c>
      <c r="AI49">
        <f>Source!Y29</f>
        <v>66.35</v>
      </c>
      <c r="AJ49">
        <f>Source!HL29</f>
        <v>2419.64</v>
      </c>
      <c r="AS49">
        <f>IF(Source!BI29&lt;=1,AH49,0)</f>
        <v>4394.86</v>
      </c>
      <c r="AT49">
        <f>IF(Source!BI29&lt;=1,AJ49,0)</f>
        <v>2419.64</v>
      </c>
      <c r="BC49">
        <f>IF(Source!BI29=2,AH49,0)</f>
        <v>0</v>
      </c>
      <c r="BD49">
        <f>IF(Source!BI29=2,AJ49,0)</f>
        <v>0</v>
      </c>
    </row>
    <row r="51" ht="12.75">
      <c r="C51" s="45" t="str">
        <f>"Объем: "&amp;Source!K29&amp;"=22/"&amp;"100"</f>
        <v>Объем: 0,22=22/100</v>
      </c>
    </row>
    <row r="52" spans="1:12" ht="14.25">
      <c r="A52" s="73"/>
      <c r="B52" s="74">
        <v>1</v>
      </c>
      <c r="C52" s="73" t="s">
        <v>522</v>
      </c>
      <c r="D52" s="56"/>
      <c r="E52" s="51"/>
      <c r="F52" s="51"/>
      <c r="G52" s="51"/>
      <c r="H52" s="49">
        <f>Source!AO29</f>
        <v>595.99</v>
      </c>
      <c r="I52" s="57"/>
      <c r="J52" s="49">
        <f>ROUND(Source!AF29*Source!I29,2)</f>
        <v>131.12</v>
      </c>
      <c r="K52" s="57">
        <f>IF(Source!BA29&lt;&gt;0,Source!BA29,1)</f>
        <v>36.47</v>
      </c>
      <c r="L52" s="49">
        <f>Source!HJ29</f>
        <v>4781.95</v>
      </c>
    </row>
    <row r="53" spans="1:12" ht="14.25">
      <c r="A53" s="73"/>
      <c r="B53" s="74">
        <v>3</v>
      </c>
      <c r="C53" s="73" t="s">
        <v>523</v>
      </c>
      <c r="D53" s="56"/>
      <c r="E53" s="51"/>
      <c r="F53" s="51"/>
      <c r="G53" s="51"/>
      <c r="H53" s="49">
        <f>Source!AM29</f>
        <v>45.01</v>
      </c>
      <c r="I53" s="57"/>
      <c r="J53" s="49">
        <f>ROUND((((Source!ET29)-(Source!EU29))+Source!AE29)*Source!I29,2)</f>
        <v>9.9</v>
      </c>
      <c r="K53" s="57"/>
      <c r="L53" s="49"/>
    </row>
    <row r="54" spans="1:12" ht="14.25">
      <c r="A54" s="73"/>
      <c r="B54" s="74">
        <v>2</v>
      </c>
      <c r="C54" s="73" t="s">
        <v>524</v>
      </c>
      <c r="D54" s="56"/>
      <c r="E54" s="51"/>
      <c r="F54" s="51"/>
      <c r="G54" s="51"/>
      <c r="H54" s="49">
        <f>Source!AN29</f>
        <v>19.44</v>
      </c>
      <c r="I54" s="57"/>
      <c r="J54" s="58">
        <f>ROUND(Source!AE29*Source!I29,2)</f>
        <v>4.28</v>
      </c>
      <c r="K54" s="57">
        <f>IF(Source!BS29&lt;&gt;0,Source!BS29,1)</f>
        <v>36.47</v>
      </c>
      <c r="L54" s="58">
        <f>Source!HI29</f>
        <v>156.09</v>
      </c>
    </row>
    <row r="55" spans="1:12" ht="14.25">
      <c r="A55" s="73"/>
      <c r="B55" s="73"/>
      <c r="C55" s="73" t="s">
        <v>525</v>
      </c>
      <c r="D55" s="56" t="s">
        <v>526</v>
      </c>
      <c r="E55" s="51">
        <f>Source!AQ29</f>
        <v>69.87</v>
      </c>
      <c r="F55" s="51"/>
      <c r="G55" s="103">
        <f>ROUND(Source!U29,7)</f>
        <v>15.3714</v>
      </c>
      <c r="H55" s="49"/>
      <c r="I55" s="57"/>
      <c r="J55" s="49"/>
      <c r="K55" s="57"/>
      <c r="L55" s="49"/>
    </row>
    <row r="56" spans="1:12" ht="14.25">
      <c r="A56" s="73"/>
      <c r="B56" s="73"/>
      <c r="C56" s="75" t="s">
        <v>527</v>
      </c>
      <c r="D56" s="59" t="s">
        <v>526</v>
      </c>
      <c r="E56" s="60">
        <f>Source!AR29</f>
        <v>1.44</v>
      </c>
      <c r="F56" s="60"/>
      <c r="G56" s="104">
        <f>ROUND(Source!V29,7)</f>
        <v>0.3168</v>
      </c>
      <c r="H56" s="61"/>
      <c r="I56" s="62"/>
      <c r="J56" s="61"/>
      <c r="K56" s="62"/>
      <c r="L56" s="61"/>
    </row>
    <row r="57" spans="1:12" ht="14.25">
      <c r="A57" s="73"/>
      <c r="B57" s="73"/>
      <c r="C57" s="73" t="s">
        <v>528</v>
      </c>
      <c r="D57" s="56"/>
      <c r="E57" s="51"/>
      <c r="F57" s="51"/>
      <c r="G57" s="51"/>
      <c r="H57" s="49">
        <f>H52+H53</f>
        <v>641</v>
      </c>
      <c r="I57" s="57"/>
      <c r="J57" s="49">
        <f>J52+J53</f>
        <v>141.02</v>
      </c>
      <c r="K57" s="57"/>
      <c r="L57" s="49"/>
    </row>
    <row r="58" spans="1:56" ht="14.25">
      <c r="A58" s="73" t="s">
        <v>33</v>
      </c>
      <c r="B58" s="73" t="str">
        <f>Source!F31</f>
        <v>999-9900</v>
      </c>
      <c r="C58" s="73" t="str">
        <f>Source!G31</f>
        <v>Строительный мусор</v>
      </c>
      <c r="D58" s="56" t="str">
        <f>Source!H31</f>
        <v>т</v>
      </c>
      <c r="E58" s="51">
        <f>SmtRes!AT8</f>
        <v>2</v>
      </c>
      <c r="F58" s="51"/>
      <c r="G58" s="51">
        <f>Source!I31</f>
        <v>0.44</v>
      </c>
      <c r="H58" s="49">
        <f>Source!AL31+Source!AO31+Source!AM31</f>
        <v>0</v>
      </c>
      <c r="I58" s="57"/>
      <c r="J58" s="49">
        <f>ROUND(Source!AC31*Source!I31,2)+ROUND((((Source!ET31)-(Source!EU31))+Source!AE31)*Source!I31,2)+ROUND(Source!AF31*Source!I31,2)</f>
        <v>0</v>
      </c>
      <c r="K58" s="57"/>
      <c r="L58" s="49"/>
      <c r="AF58" s="47">
        <f>J58</f>
        <v>0</v>
      </c>
      <c r="AG58">
        <f>Source!X31</f>
        <v>0</v>
      </c>
      <c r="AH58">
        <f>Source!HK31</f>
        <v>0</v>
      </c>
      <c r="AI58">
        <f>Source!Y31</f>
        <v>0</v>
      </c>
      <c r="AJ58">
        <f>Source!HL31</f>
        <v>0</v>
      </c>
      <c r="AN58">
        <f>IF(Source!BI31&lt;=1,J58,0)</f>
        <v>0</v>
      </c>
      <c r="AO58">
        <f>IF(Source!BI31&lt;=1,J58,0)</f>
        <v>0</v>
      </c>
      <c r="AS58">
        <f>IF(Source!BI31&lt;=1,AH58,0)</f>
        <v>0</v>
      </c>
      <c r="AT58">
        <f>IF(Source!BI31&lt;=1,AJ58,0)</f>
        <v>0</v>
      </c>
      <c r="AX58">
        <f>IF(Source!BI31=2,J58,0)</f>
        <v>0</v>
      </c>
      <c r="AY58">
        <f>IF(Source!BI31=2,J58,0)</f>
        <v>0</v>
      </c>
      <c r="BC58">
        <f>IF(Source!BI31=2,AH58,0)</f>
        <v>0</v>
      </c>
      <c r="BD58">
        <f>IF(Source!BI31=2,AJ58,0)</f>
        <v>0</v>
      </c>
    </row>
    <row r="59" spans="1:12" ht="14.25">
      <c r="A59" s="73"/>
      <c r="B59" s="73"/>
      <c r="C59" s="73" t="s">
        <v>529</v>
      </c>
      <c r="D59" s="56"/>
      <c r="E59" s="51"/>
      <c r="F59" s="51"/>
      <c r="G59" s="51"/>
      <c r="H59" s="49"/>
      <c r="I59" s="57"/>
      <c r="J59" s="49">
        <f>SUM(Q49:Q62)+SUM(V49:V62)+SUM(X49:X62)+SUM(Y49:Y62)</f>
        <v>135.4</v>
      </c>
      <c r="K59" s="57"/>
      <c r="L59" s="49">
        <f>SUM(U49:U62)+SUM(W49:W62)+SUM(Z49:Z62)+SUM(AA49:AA62)</f>
        <v>4938.04</v>
      </c>
    </row>
    <row r="60" spans="1:12" ht="14.25">
      <c r="A60" s="73"/>
      <c r="B60" s="73" t="s">
        <v>30</v>
      </c>
      <c r="C60" s="73" t="s">
        <v>530</v>
      </c>
      <c r="D60" s="56" t="s">
        <v>531</v>
      </c>
      <c r="E60" s="51">
        <f>Source!BZ29</f>
        <v>89</v>
      </c>
      <c r="F60" s="51"/>
      <c r="G60" s="51">
        <f>Source!AT29</f>
        <v>89</v>
      </c>
      <c r="H60" s="49"/>
      <c r="I60" s="57"/>
      <c r="J60" s="49">
        <f>SUM(AG49:AG62)</f>
        <v>120.51</v>
      </c>
      <c r="K60" s="57"/>
      <c r="L60" s="49">
        <f>SUM(AH49:AH62)</f>
        <v>4394.86</v>
      </c>
    </row>
    <row r="61" spans="1:12" ht="14.25">
      <c r="A61" s="75"/>
      <c r="B61" s="75" t="s">
        <v>31</v>
      </c>
      <c r="C61" s="75" t="s">
        <v>532</v>
      </c>
      <c r="D61" s="59" t="s">
        <v>531</v>
      </c>
      <c r="E61" s="60">
        <f>Source!CA29</f>
        <v>49</v>
      </c>
      <c r="F61" s="60"/>
      <c r="G61" s="60">
        <f>Source!AU29</f>
        <v>49</v>
      </c>
      <c r="H61" s="61"/>
      <c r="I61" s="62"/>
      <c r="J61" s="61">
        <f>SUM(AI49:AI62)</f>
        <v>66.35</v>
      </c>
      <c r="K61" s="62"/>
      <c r="L61" s="61">
        <f>SUM(AJ49:AJ62)</f>
        <v>2419.64</v>
      </c>
    </row>
    <row r="62" spans="3:53" ht="15">
      <c r="C62" s="108" t="s">
        <v>533</v>
      </c>
      <c r="D62" s="108"/>
      <c r="E62" s="108"/>
      <c r="F62" s="108"/>
      <c r="G62" s="108"/>
      <c r="H62" s="108"/>
      <c r="I62" s="108">
        <f>J52+J53+J60+J61+SUM(J58:J58)</f>
        <v>327.88</v>
      </c>
      <c r="J62" s="108"/>
      <c r="O62" s="47">
        <f>I62</f>
        <v>327.88</v>
      </c>
      <c r="P62">
        <f>K62</f>
        <v>0</v>
      </c>
      <c r="Q62" s="47">
        <f>J52</f>
        <v>131.12</v>
      </c>
      <c r="R62" s="47">
        <f>J52</f>
        <v>131.12</v>
      </c>
      <c r="U62" s="47">
        <f>L52</f>
        <v>4781.95</v>
      </c>
      <c r="X62" s="47">
        <f>J54</f>
        <v>4.28</v>
      </c>
      <c r="Z62" s="47">
        <f>L54</f>
        <v>156.09</v>
      </c>
      <c r="AB62" s="47">
        <f>J53</f>
        <v>9.9</v>
      </c>
      <c r="AD62" s="47">
        <f>L53</f>
        <v>0</v>
      </c>
      <c r="AF62">
        <f>0</f>
        <v>0</v>
      </c>
      <c r="AN62">
        <f>IF(Source!BI29&lt;=1,J52+J53+J60+J61,0)</f>
        <v>327.88</v>
      </c>
      <c r="AO62">
        <f>IF(Source!BI29&lt;=1,0,0)</f>
        <v>0</v>
      </c>
      <c r="AP62">
        <f>IF(Source!BI29&lt;=1,J53,0)</f>
        <v>9.9</v>
      </c>
      <c r="AQ62">
        <f>IF(Source!BI29&lt;=1,J52,0)</f>
        <v>131.12</v>
      </c>
      <c r="AX62">
        <f>IF(Source!BI29=2,J52+J53+J60+J61,0)</f>
        <v>0</v>
      </c>
      <c r="AY62">
        <f>IF(Source!BI29=2,0,0)</f>
        <v>0</v>
      </c>
      <c r="AZ62">
        <f>IF(Source!BI29=2,J53,0)</f>
        <v>0</v>
      </c>
      <c r="BA62">
        <f>IF(Source!BI29=2,J52,0)</f>
        <v>0</v>
      </c>
    </row>
    <row r="63" spans="1:56" ht="28.5">
      <c r="A63" s="73">
        <v>2</v>
      </c>
      <c r="B63" s="73" t="str">
        <f>Source!F33</f>
        <v>68-20-1</v>
      </c>
      <c r="C63" s="73" t="str">
        <f>Source!G33</f>
        <v>Разборка тротуаров и дорожек из плит с их отноской и укладкой в штабель</v>
      </c>
      <c r="D63" s="56" t="str">
        <f>Source!H33</f>
        <v>100 м2</v>
      </c>
      <c r="E63" s="51">
        <f>Source!K33</f>
        <v>1.733</v>
      </c>
      <c r="F63" s="51"/>
      <c r="G63" s="51">
        <f>Source!I33</f>
        <v>1.733</v>
      </c>
      <c r="H63" s="49"/>
      <c r="I63" s="57"/>
      <c r="J63" s="49"/>
      <c r="K63" s="57"/>
      <c r="L63" s="49"/>
      <c r="AG63">
        <f>Source!X33</f>
        <v>251.61</v>
      </c>
      <c r="AH63">
        <f>Source!HK33</f>
        <v>9176.35</v>
      </c>
      <c r="AI63">
        <f>Source!Y33</f>
        <v>133.21</v>
      </c>
      <c r="AJ63">
        <f>Source!HL33</f>
        <v>4858.07</v>
      </c>
      <c r="AS63">
        <f>IF(Source!BI33&lt;=1,AH63,0)</f>
        <v>9176.35</v>
      </c>
      <c r="AT63">
        <f>IF(Source!BI33&lt;=1,AJ63,0)</f>
        <v>4858.07</v>
      </c>
      <c r="BC63">
        <f>IF(Source!BI33=2,AH63,0)</f>
        <v>0</v>
      </c>
      <c r="BD63">
        <f>IF(Source!BI33=2,AJ63,0)</f>
        <v>0</v>
      </c>
    </row>
    <row r="65" ht="12.75">
      <c r="C65" s="45" t="str">
        <f>"Объем: "&amp;Source!K33&amp;"=173,3/"&amp;"100"</f>
        <v>Объем: 1,733=173,3/100</v>
      </c>
    </row>
    <row r="66" spans="1:12" ht="14.25">
      <c r="A66" s="73"/>
      <c r="B66" s="74">
        <v>1</v>
      </c>
      <c r="C66" s="73" t="s">
        <v>522</v>
      </c>
      <c r="D66" s="56"/>
      <c r="E66" s="51"/>
      <c r="F66" s="51"/>
      <c r="G66" s="51"/>
      <c r="H66" s="49">
        <f>Source!AO33</f>
        <v>142.34</v>
      </c>
      <c r="I66" s="57"/>
      <c r="J66" s="49">
        <f>ROUND(Source!AF33*Source!I33,2)</f>
        <v>246.68</v>
      </c>
      <c r="K66" s="57">
        <f>IF(Source!BA33&lt;&gt;0,Source!BA33,1)</f>
        <v>36.47</v>
      </c>
      <c r="L66" s="49">
        <f>Source!HJ33</f>
        <v>8996.42</v>
      </c>
    </row>
    <row r="67" spans="1:12" ht="14.25">
      <c r="A67" s="73"/>
      <c r="B67" s="73"/>
      <c r="C67" s="75" t="s">
        <v>525</v>
      </c>
      <c r="D67" s="59" t="s">
        <v>526</v>
      </c>
      <c r="E67" s="60">
        <f>Source!AQ33</f>
        <v>18.68</v>
      </c>
      <c r="F67" s="60"/>
      <c r="G67" s="104">
        <f>ROUND(Source!U33,7)</f>
        <v>32.37244</v>
      </c>
      <c r="H67" s="61"/>
      <c r="I67" s="62"/>
      <c r="J67" s="61"/>
      <c r="K67" s="62"/>
      <c r="L67" s="61"/>
    </row>
    <row r="68" spans="1:12" ht="14.25">
      <c r="A68" s="73"/>
      <c r="B68" s="73"/>
      <c r="C68" s="73" t="s">
        <v>528</v>
      </c>
      <c r="D68" s="56"/>
      <c r="E68" s="51"/>
      <c r="F68" s="51"/>
      <c r="G68" s="51"/>
      <c r="H68" s="49">
        <f>H66</f>
        <v>142.34</v>
      </c>
      <c r="I68" s="57"/>
      <c r="J68" s="49">
        <f>J66</f>
        <v>246.68</v>
      </c>
      <c r="K68" s="57"/>
      <c r="L68" s="49"/>
    </row>
    <row r="69" spans="1:12" ht="14.25">
      <c r="A69" s="73"/>
      <c r="B69" s="73"/>
      <c r="C69" s="73" t="s">
        <v>529</v>
      </c>
      <c r="D69" s="56"/>
      <c r="E69" s="51"/>
      <c r="F69" s="51"/>
      <c r="G69" s="51"/>
      <c r="H69" s="49"/>
      <c r="I69" s="57"/>
      <c r="J69" s="49">
        <f>SUM(Q63:Q72)+SUM(V63:V72)+SUM(X63:X72)+SUM(Y63:Y72)</f>
        <v>246.68</v>
      </c>
      <c r="K69" s="57"/>
      <c r="L69" s="49">
        <f>SUM(U63:U72)+SUM(W63:W72)+SUM(Z63:Z72)+SUM(AA63:AA72)</f>
        <v>8996.42</v>
      </c>
    </row>
    <row r="70" spans="1:12" ht="14.25">
      <c r="A70" s="73"/>
      <c r="B70" s="73" t="s">
        <v>43</v>
      </c>
      <c r="C70" s="73" t="s">
        <v>534</v>
      </c>
      <c r="D70" s="56" t="s">
        <v>531</v>
      </c>
      <c r="E70" s="51">
        <f>Source!BZ33</f>
        <v>102</v>
      </c>
      <c r="F70" s="51"/>
      <c r="G70" s="51">
        <f>Source!AT33</f>
        <v>102</v>
      </c>
      <c r="H70" s="49"/>
      <c r="I70" s="57"/>
      <c r="J70" s="49">
        <f>SUM(AG63:AG72)</f>
        <v>251.61</v>
      </c>
      <c r="K70" s="57"/>
      <c r="L70" s="49">
        <f>SUM(AH63:AH72)</f>
        <v>9176.35</v>
      </c>
    </row>
    <row r="71" spans="1:12" ht="14.25">
      <c r="A71" s="75"/>
      <c r="B71" s="75" t="s">
        <v>44</v>
      </c>
      <c r="C71" s="75" t="s">
        <v>535</v>
      </c>
      <c r="D71" s="59" t="s">
        <v>531</v>
      </c>
      <c r="E71" s="60">
        <f>Source!CA33</f>
        <v>54</v>
      </c>
      <c r="F71" s="60"/>
      <c r="G71" s="60">
        <f>Source!AU33</f>
        <v>54</v>
      </c>
      <c r="H71" s="61"/>
      <c r="I71" s="62"/>
      <c r="J71" s="61">
        <f>SUM(AI63:AI72)</f>
        <v>133.21</v>
      </c>
      <c r="K71" s="62"/>
      <c r="L71" s="61">
        <f>SUM(AJ63:AJ72)</f>
        <v>4858.07</v>
      </c>
    </row>
    <row r="72" spans="3:53" ht="15">
      <c r="C72" s="108" t="s">
        <v>533</v>
      </c>
      <c r="D72" s="108"/>
      <c r="E72" s="108"/>
      <c r="F72" s="108"/>
      <c r="G72" s="108"/>
      <c r="H72" s="108"/>
      <c r="I72" s="108">
        <f>J66+J70+J71</f>
        <v>631.5</v>
      </c>
      <c r="J72" s="108"/>
      <c r="O72" s="47">
        <f>I72</f>
        <v>631.5</v>
      </c>
      <c r="P72">
        <f>K72</f>
        <v>0</v>
      </c>
      <c r="Q72" s="47">
        <f>J66</f>
        <v>246.68</v>
      </c>
      <c r="R72" s="47">
        <f>J66</f>
        <v>246.68</v>
      </c>
      <c r="U72" s="47">
        <f>L66</f>
        <v>8996.42</v>
      </c>
      <c r="X72">
        <f>0</f>
        <v>0</v>
      </c>
      <c r="Z72">
        <f>0</f>
        <v>0</v>
      </c>
      <c r="AB72">
        <f>0</f>
        <v>0</v>
      </c>
      <c r="AD72">
        <f>0</f>
        <v>0</v>
      </c>
      <c r="AF72">
        <f>0</f>
        <v>0</v>
      </c>
      <c r="AN72">
        <f>IF(Source!BI33&lt;=1,J66+J70+J71,0)</f>
        <v>631.5</v>
      </c>
      <c r="AO72">
        <f>IF(Source!BI33&lt;=1,0,0)</f>
        <v>0</v>
      </c>
      <c r="AP72">
        <f>IF(Source!BI33&lt;=1,0,0)</f>
        <v>0</v>
      </c>
      <c r="AQ72">
        <f>IF(Source!BI33&lt;=1,J66,0)</f>
        <v>246.68</v>
      </c>
      <c r="AX72">
        <f>IF(Source!BI33=2,J66+J70+J71,0)</f>
        <v>0</v>
      </c>
      <c r="AY72">
        <f>IF(Source!BI33=2,0,0)</f>
        <v>0</v>
      </c>
      <c r="AZ72">
        <f>IF(Source!BI33=2,0,0)</f>
        <v>0</v>
      </c>
      <c r="BA72">
        <f>IF(Source!BI33=2,J66,0)</f>
        <v>0</v>
      </c>
    </row>
    <row r="73" spans="1:56" ht="42.75">
      <c r="A73" s="73">
        <v>3</v>
      </c>
      <c r="B73" s="73" t="str">
        <f>Source!F35</f>
        <v>68-12-5</v>
      </c>
      <c r="C73" s="73" t="str">
        <f>Source!G35</f>
        <v>Разборка покрытий и оснований: цементно-песчанных (Применительно) (165,8 м2 * 0,05 м = 8,25 м3)</v>
      </c>
      <c r="D73" s="56" t="str">
        <f>Source!H35</f>
        <v>100 м3</v>
      </c>
      <c r="E73" s="51">
        <f>Source!K35</f>
        <v>0.0825</v>
      </c>
      <c r="F73" s="51"/>
      <c r="G73" s="51">
        <f>Source!I35</f>
        <v>0.0825</v>
      </c>
      <c r="H73" s="49"/>
      <c r="I73" s="57"/>
      <c r="J73" s="49"/>
      <c r="K73" s="57"/>
      <c r="L73" s="49"/>
      <c r="AG73">
        <f>Source!X35</f>
        <v>45.89</v>
      </c>
      <c r="AH73">
        <f>Source!HK35</f>
        <v>1673.61</v>
      </c>
      <c r="AI73">
        <f>Source!Y35</f>
        <v>24.29</v>
      </c>
      <c r="AJ73">
        <f>Source!HL35</f>
        <v>886.03</v>
      </c>
      <c r="AS73">
        <f>IF(Source!BI35&lt;=1,AH73,0)</f>
        <v>1673.61</v>
      </c>
      <c r="AT73">
        <f>IF(Source!BI35&lt;=1,AJ73,0)</f>
        <v>886.03</v>
      </c>
      <c r="BC73">
        <f>IF(Source!BI35=2,AH73,0)</f>
        <v>0</v>
      </c>
      <c r="BD73">
        <f>IF(Source!BI35=2,AJ73,0)</f>
        <v>0</v>
      </c>
    </row>
    <row r="75" ht="12.75">
      <c r="C75" s="45" t="str">
        <f>"Объем: "&amp;Source!K35&amp;"=8,25/"&amp;"100"</f>
        <v>Объем: 0,0825=8,25/100</v>
      </c>
    </row>
    <row r="76" spans="1:12" ht="14.25">
      <c r="A76" s="73"/>
      <c r="B76" s="74">
        <v>1</v>
      </c>
      <c r="C76" s="73" t="s">
        <v>522</v>
      </c>
      <c r="D76" s="56"/>
      <c r="E76" s="51"/>
      <c r="F76" s="51"/>
      <c r="G76" s="51"/>
      <c r="H76" s="49">
        <f>Source!AO35</f>
        <v>400.46</v>
      </c>
      <c r="I76" s="57"/>
      <c r="J76" s="49">
        <f>ROUND(Source!AF35*Source!I35,2)</f>
        <v>33.04</v>
      </c>
      <c r="K76" s="57">
        <f>IF(Source!BA35&lt;&gt;0,Source!BA35,1)</f>
        <v>36.47</v>
      </c>
      <c r="L76" s="49">
        <f>Source!HJ35</f>
        <v>1204.97</v>
      </c>
    </row>
    <row r="77" spans="1:12" ht="14.25">
      <c r="A77" s="73"/>
      <c r="B77" s="74">
        <v>3</v>
      </c>
      <c r="C77" s="73" t="s">
        <v>523</v>
      </c>
      <c r="D77" s="56"/>
      <c r="E77" s="51"/>
      <c r="F77" s="51"/>
      <c r="G77" s="51"/>
      <c r="H77" s="49">
        <f>Source!AM35</f>
        <v>1148.79</v>
      </c>
      <c r="I77" s="57"/>
      <c r="J77" s="49">
        <f>ROUND((((Source!ET35)-(Source!EU35))+Source!AE35)*Source!I35,2)</f>
        <v>94.78</v>
      </c>
      <c r="K77" s="57"/>
      <c r="L77" s="49"/>
    </row>
    <row r="78" spans="1:12" ht="14.25">
      <c r="A78" s="73"/>
      <c r="B78" s="74">
        <v>2</v>
      </c>
      <c r="C78" s="73" t="s">
        <v>524</v>
      </c>
      <c r="D78" s="56"/>
      <c r="E78" s="51"/>
      <c r="F78" s="51"/>
      <c r="G78" s="51"/>
      <c r="H78" s="49">
        <f>Source!AN35</f>
        <v>144.86</v>
      </c>
      <c r="I78" s="57"/>
      <c r="J78" s="58">
        <f>ROUND(Source!AE35*Source!I35,2)</f>
        <v>11.95</v>
      </c>
      <c r="K78" s="57">
        <f>IF(Source!BS35&lt;&gt;0,Source!BS35,1)</f>
        <v>36.47</v>
      </c>
      <c r="L78" s="58">
        <f>Source!HI35</f>
        <v>435.82</v>
      </c>
    </row>
    <row r="79" spans="1:12" ht="14.25">
      <c r="A79" s="73"/>
      <c r="B79" s="73"/>
      <c r="C79" s="73" t="s">
        <v>525</v>
      </c>
      <c r="D79" s="56" t="s">
        <v>526</v>
      </c>
      <c r="E79" s="51">
        <f>Source!AQ35</f>
        <v>49.5</v>
      </c>
      <c r="F79" s="51"/>
      <c r="G79" s="103">
        <f>ROUND(Source!U35,7)</f>
        <v>4.08375</v>
      </c>
      <c r="H79" s="49"/>
      <c r="I79" s="57"/>
      <c r="J79" s="49"/>
      <c r="K79" s="57"/>
      <c r="L79" s="49"/>
    </row>
    <row r="80" spans="1:12" ht="14.25">
      <c r="A80" s="73"/>
      <c r="B80" s="73"/>
      <c r="C80" s="75" t="s">
        <v>527</v>
      </c>
      <c r="D80" s="59" t="s">
        <v>526</v>
      </c>
      <c r="E80" s="60">
        <f>Source!AR35</f>
        <v>10.73</v>
      </c>
      <c r="F80" s="60"/>
      <c r="G80" s="104">
        <f>ROUND(Source!V35,7)</f>
        <v>0.885225</v>
      </c>
      <c r="H80" s="61"/>
      <c r="I80" s="62"/>
      <c r="J80" s="61"/>
      <c r="K80" s="62"/>
      <c r="L80" s="61"/>
    </row>
    <row r="81" spans="1:12" ht="14.25">
      <c r="A81" s="73"/>
      <c r="B81" s="73"/>
      <c r="C81" s="73" t="s">
        <v>528</v>
      </c>
      <c r="D81" s="56"/>
      <c r="E81" s="51"/>
      <c r="F81" s="51"/>
      <c r="G81" s="51"/>
      <c r="H81" s="49">
        <f>H76+H77</f>
        <v>1549.25</v>
      </c>
      <c r="I81" s="57"/>
      <c r="J81" s="49">
        <f>J76+J77</f>
        <v>127.82</v>
      </c>
      <c r="K81" s="57"/>
      <c r="L81" s="49"/>
    </row>
    <row r="82" spans="1:12" ht="14.25">
      <c r="A82" s="73"/>
      <c r="B82" s="73"/>
      <c r="C82" s="73" t="s">
        <v>529</v>
      </c>
      <c r="D82" s="56"/>
      <c r="E82" s="51"/>
      <c r="F82" s="51"/>
      <c r="G82" s="51"/>
      <c r="H82" s="49"/>
      <c r="I82" s="57"/>
      <c r="J82" s="49">
        <f>SUM(Q73:Q85)+SUM(V73:V85)+SUM(X73:X85)+SUM(Y73:Y85)</f>
        <v>44.989999999999995</v>
      </c>
      <c r="K82" s="57"/>
      <c r="L82" s="49">
        <f>SUM(U73:U85)+SUM(W73:W85)+SUM(Z73:Z85)+SUM(AA73:AA85)</f>
        <v>1640.79</v>
      </c>
    </row>
    <row r="83" spans="1:12" ht="14.25">
      <c r="A83" s="73"/>
      <c r="B83" s="73" t="s">
        <v>43</v>
      </c>
      <c r="C83" s="73" t="s">
        <v>534</v>
      </c>
      <c r="D83" s="56" t="s">
        <v>531</v>
      </c>
      <c r="E83" s="51">
        <f>Source!BZ35</f>
        <v>102</v>
      </c>
      <c r="F83" s="51"/>
      <c r="G83" s="51">
        <f>Source!AT35</f>
        <v>102</v>
      </c>
      <c r="H83" s="49"/>
      <c r="I83" s="57"/>
      <c r="J83" s="49">
        <f>SUM(AG73:AG85)</f>
        <v>45.89</v>
      </c>
      <c r="K83" s="57"/>
      <c r="L83" s="49">
        <f>SUM(AH73:AH85)</f>
        <v>1673.61</v>
      </c>
    </row>
    <row r="84" spans="1:12" ht="14.25">
      <c r="A84" s="75"/>
      <c r="B84" s="75" t="s">
        <v>44</v>
      </c>
      <c r="C84" s="75" t="s">
        <v>535</v>
      </c>
      <c r="D84" s="59" t="s">
        <v>531</v>
      </c>
      <c r="E84" s="60">
        <f>Source!CA35</f>
        <v>54</v>
      </c>
      <c r="F84" s="60"/>
      <c r="G84" s="60">
        <f>Source!AU35</f>
        <v>54</v>
      </c>
      <c r="H84" s="61"/>
      <c r="I84" s="62"/>
      <c r="J84" s="61">
        <f>SUM(AI73:AI85)</f>
        <v>24.29</v>
      </c>
      <c r="K84" s="62"/>
      <c r="L84" s="61">
        <f>SUM(AJ73:AJ85)</f>
        <v>886.03</v>
      </c>
    </row>
    <row r="85" spans="3:53" ht="15">
      <c r="C85" s="108" t="s">
        <v>533</v>
      </c>
      <c r="D85" s="108"/>
      <c r="E85" s="108"/>
      <c r="F85" s="108"/>
      <c r="G85" s="108"/>
      <c r="H85" s="108"/>
      <c r="I85" s="108">
        <f>J76+J77+J83+J84</f>
        <v>197.99999999999997</v>
      </c>
      <c r="J85" s="108"/>
      <c r="O85" s="47">
        <f>I85</f>
        <v>197.99999999999997</v>
      </c>
      <c r="P85">
        <f>K85</f>
        <v>0</v>
      </c>
      <c r="Q85" s="47">
        <f>J76</f>
        <v>33.04</v>
      </c>
      <c r="R85" s="47">
        <f>J76</f>
        <v>33.04</v>
      </c>
      <c r="U85" s="47">
        <f>L76</f>
        <v>1204.97</v>
      </c>
      <c r="X85" s="47">
        <f>J78</f>
        <v>11.95</v>
      </c>
      <c r="Z85" s="47">
        <f>L78</f>
        <v>435.82</v>
      </c>
      <c r="AB85" s="47">
        <f>J77</f>
        <v>94.78</v>
      </c>
      <c r="AD85" s="47">
        <f>L77</f>
        <v>0</v>
      </c>
      <c r="AF85">
        <f>0</f>
        <v>0</v>
      </c>
      <c r="AN85">
        <f>IF(Source!BI35&lt;=1,J76+J77+J83+J84,0)</f>
        <v>197.99999999999997</v>
      </c>
      <c r="AO85">
        <f>IF(Source!BI35&lt;=1,0,0)</f>
        <v>0</v>
      </c>
      <c r="AP85">
        <f>IF(Source!BI35&lt;=1,J77,0)</f>
        <v>94.78</v>
      </c>
      <c r="AQ85">
        <f>IF(Source!BI35&lt;=1,J76,0)</f>
        <v>33.04</v>
      </c>
      <c r="AX85">
        <f>IF(Source!BI35=2,J76+J77+J83+J84,0)</f>
        <v>0</v>
      </c>
      <c r="AY85">
        <f>IF(Source!BI35=2,0,0)</f>
        <v>0</v>
      </c>
      <c r="AZ85">
        <f>IF(Source!BI35=2,J77,0)</f>
        <v>0</v>
      </c>
      <c r="BA85">
        <f>IF(Source!BI35=2,J76,0)</f>
        <v>0</v>
      </c>
    </row>
    <row r="86" spans="1:56" ht="130.5">
      <c r="A86" s="73">
        <v>4</v>
      </c>
      <c r="B86" s="73" t="str">
        <f>Source!F37</f>
        <v>27-03-010-01</v>
      </c>
      <c r="C86" s="73" t="s">
        <v>536</v>
      </c>
      <c r="D86" s="56" t="str">
        <f>Source!H37</f>
        <v>100 м</v>
      </c>
      <c r="E86" s="51">
        <f>Source!K37</f>
        <v>0.6</v>
      </c>
      <c r="F86" s="51"/>
      <c r="G86" s="51">
        <f>Source!I37</f>
        <v>0.6</v>
      </c>
      <c r="H86" s="49"/>
      <c r="I86" s="57"/>
      <c r="J86" s="49"/>
      <c r="K86" s="57"/>
      <c r="L86" s="49"/>
      <c r="AG86">
        <f>Source!X37</f>
        <v>561.53</v>
      </c>
      <c r="AH86">
        <f>Source!HK37</f>
        <v>20479.15</v>
      </c>
      <c r="AI86">
        <f>Source!Y37</f>
        <v>483.44</v>
      </c>
      <c r="AJ86">
        <f>Source!HL37</f>
        <v>17630.96</v>
      </c>
      <c r="AS86">
        <f>IF(Source!BI37&lt;=1,AH86,0)</f>
        <v>20479.15</v>
      </c>
      <c r="AT86">
        <f>IF(Source!BI37&lt;=1,AJ86,0)</f>
        <v>17630.96</v>
      </c>
      <c r="BC86">
        <f>IF(Source!BI37=2,AH86,0)</f>
        <v>0</v>
      </c>
      <c r="BD86">
        <f>IF(Source!BI37=2,AJ86,0)</f>
        <v>0</v>
      </c>
    </row>
    <row r="87" spans="2:3" ht="89.25">
      <c r="B87" s="48" t="str">
        <f>Source!EO37</f>
        <v>Поправка: МР 519/пр п.6.7.1</v>
      </c>
      <c r="C87" s="48" t="str">
        <f>Source!CN37</f>
        <v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88" ht="12.75">
      <c r="C88" s="45" t="str">
        <f>"Объем: "&amp;Source!K37&amp;"=60/"&amp;"100"</f>
        <v>Объем: 0,6=60/100</v>
      </c>
    </row>
    <row r="89" spans="1:12" ht="14.25">
      <c r="A89" s="73"/>
      <c r="B89" s="74">
        <v>1</v>
      </c>
      <c r="C89" s="73" t="s">
        <v>522</v>
      </c>
      <c r="D89" s="56"/>
      <c r="E89" s="51"/>
      <c r="F89" s="51"/>
      <c r="G89" s="51"/>
      <c r="H89" s="49">
        <f>Source!AO37</f>
        <v>615.13</v>
      </c>
      <c r="I89" s="57">
        <f>ROUND(1.15,7)</f>
        <v>1.15</v>
      </c>
      <c r="J89" s="49">
        <f>ROUND(Source!AF37*Source!I37,2)</f>
        <v>424.44</v>
      </c>
      <c r="K89" s="57">
        <f>IF(Source!BA37&lt;&gt;0,Source!BA37,1)</f>
        <v>36.47</v>
      </c>
      <c r="L89" s="49">
        <f>Source!HJ37</f>
        <v>15479.33</v>
      </c>
    </row>
    <row r="90" spans="1:12" ht="14.25">
      <c r="A90" s="73"/>
      <c r="B90" s="73"/>
      <c r="C90" s="75" t="s">
        <v>525</v>
      </c>
      <c r="D90" s="59" t="s">
        <v>526</v>
      </c>
      <c r="E90" s="60">
        <f>Source!AQ37</f>
        <v>76.7</v>
      </c>
      <c r="F90" s="60">
        <f>ROUND(1.15,7)</f>
        <v>1.15</v>
      </c>
      <c r="G90" s="104">
        <f>ROUND(Source!U37,7)</f>
        <v>52.923</v>
      </c>
      <c r="H90" s="61"/>
      <c r="I90" s="62"/>
      <c r="J90" s="61"/>
      <c r="K90" s="62"/>
      <c r="L90" s="61"/>
    </row>
    <row r="91" spans="1:12" ht="14.25">
      <c r="A91" s="73"/>
      <c r="B91" s="73"/>
      <c r="C91" s="73" t="s">
        <v>528</v>
      </c>
      <c r="D91" s="56"/>
      <c r="E91" s="51"/>
      <c r="F91" s="51"/>
      <c r="G91" s="51"/>
      <c r="H91" s="49">
        <f>H89</f>
        <v>615.13</v>
      </c>
      <c r="I91" s="57"/>
      <c r="J91" s="49">
        <f>J89</f>
        <v>424.44</v>
      </c>
      <c r="K91" s="57"/>
      <c r="L91" s="49"/>
    </row>
    <row r="92" spans="1:12" ht="14.25">
      <c r="A92" s="73"/>
      <c r="B92" s="73"/>
      <c r="C92" s="73" t="s">
        <v>529</v>
      </c>
      <c r="D92" s="56"/>
      <c r="E92" s="51"/>
      <c r="F92" s="51"/>
      <c r="G92" s="51"/>
      <c r="H92" s="49"/>
      <c r="I92" s="57"/>
      <c r="J92" s="49">
        <f>SUM(Q86:Q95)+SUM(V86:V95)+SUM(X86:X95)+SUM(Y86:Y95)</f>
        <v>424.44</v>
      </c>
      <c r="K92" s="57"/>
      <c r="L92" s="49">
        <f>SUM(U86:U95)+SUM(W86:W95)+SUM(Z86:Z95)+SUM(AA86:AA95)</f>
        <v>15479.33</v>
      </c>
    </row>
    <row r="93" spans="1:12" ht="28.5">
      <c r="A93" s="73"/>
      <c r="B93" s="73" t="s">
        <v>537</v>
      </c>
      <c r="C93" s="73" t="s">
        <v>538</v>
      </c>
      <c r="D93" s="56" t="s">
        <v>531</v>
      </c>
      <c r="E93" s="51">
        <f>Source!BZ37</f>
        <v>147</v>
      </c>
      <c r="F93" s="51">
        <f>ROUND(0.9,7)</f>
        <v>0.9</v>
      </c>
      <c r="G93" s="51">
        <f>Source!AT37</f>
        <v>132.3</v>
      </c>
      <c r="H93" s="49"/>
      <c r="I93" s="57"/>
      <c r="J93" s="49">
        <f>SUM(AG86:AG95)</f>
        <v>561.53</v>
      </c>
      <c r="K93" s="57"/>
      <c r="L93" s="49">
        <f>SUM(AH86:AH95)</f>
        <v>20479.15</v>
      </c>
    </row>
    <row r="94" spans="1:12" ht="28.5">
      <c r="A94" s="75"/>
      <c r="B94" s="75" t="s">
        <v>539</v>
      </c>
      <c r="C94" s="75" t="s">
        <v>540</v>
      </c>
      <c r="D94" s="59" t="s">
        <v>531</v>
      </c>
      <c r="E94" s="60">
        <f>Source!CA37</f>
        <v>134</v>
      </c>
      <c r="F94" s="60">
        <f>ROUND(0.85,7)</f>
        <v>0.85</v>
      </c>
      <c r="G94" s="60">
        <f>Source!AU37</f>
        <v>113.9</v>
      </c>
      <c r="H94" s="61"/>
      <c r="I94" s="62"/>
      <c r="J94" s="61">
        <f>SUM(AI86:AI95)</f>
        <v>483.44</v>
      </c>
      <c r="K94" s="62"/>
      <c r="L94" s="61">
        <f>SUM(AJ86:AJ95)</f>
        <v>17630.96</v>
      </c>
    </row>
    <row r="95" spans="3:53" ht="15">
      <c r="C95" s="108" t="s">
        <v>533</v>
      </c>
      <c r="D95" s="108"/>
      <c r="E95" s="108"/>
      <c r="F95" s="108"/>
      <c r="G95" s="108"/>
      <c r="H95" s="108"/>
      <c r="I95" s="108">
        <f>J89+J93+J94</f>
        <v>1469.41</v>
      </c>
      <c r="J95" s="108"/>
      <c r="O95" s="47">
        <f>I95</f>
        <v>1469.41</v>
      </c>
      <c r="P95">
        <f>K95</f>
        <v>0</v>
      </c>
      <c r="Q95" s="47">
        <f>J89</f>
        <v>424.44</v>
      </c>
      <c r="R95" s="47">
        <f>J89</f>
        <v>424.44</v>
      </c>
      <c r="U95" s="47">
        <f>L89</f>
        <v>15479.33</v>
      </c>
      <c r="X95">
        <f>0</f>
        <v>0</v>
      </c>
      <c r="Z95">
        <f>0</f>
        <v>0</v>
      </c>
      <c r="AB95">
        <f>0</f>
        <v>0</v>
      </c>
      <c r="AD95">
        <f>0</f>
        <v>0</v>
      </c>
      <c r="AF95">
        <f>0</f>
        <v>0</v>
      </c>
      <c r="AN95">
        <f>IF(Source!BI37&lt;=1,J89+J93+J94,0)</f>
        <v>1469.41</v>
      </c>
      <c r="AO95">
        <f>IF(Source!BI37&lt;=1,0,0)</f>
        <v>0</v>
      </c>
      <c r="AP95">
        <f>IF(Source!BI37&lt;=1,0,0)</f>
        <v>0</v>
      </c>
      <c r="AQ95">
        <f>IF(Source!BI37&lt;=1,J89,0)</f>
        <v>424.44</v>
      </c>
      <c r="AX95">
        <f>IF(Source!BI37=2,J89+J93+J94,0)</f>
        <v>0</v>
      </c>
      <c r="AY95">
        <f>IF(Source!BI37=2,0,0)</f>
        <v>0</v>
      </c>
      <c r="AZ95">
        <f>IF(Source!BI37=2,0,0)</f>
        <v>0</v>
      </c>
      <c r="BA95">
        <f>IF(Source!BI37=2,J89,0)</f>
        <v>0</v>
      </c>
    </row>
    <row r="97" spans="1:95" ht="15">
      <c r="A97" s="65"/>
      <c r="B97" s="66"/>
      <c r="C97" s="107" t="s">
        <v>541</v>
      </c>
      <c r="D97" s="107"/>
      <c r="E97" s="107"/>
      <c r="F97" s="107"/>
      <c r="G97" s="107"/>
      <c r="H97" s="107"/>
      <c r="I97" s="67"/>
      <c r="J97" s="68">
        <f>J99+J100+J101+J102</f>
        <v>939.96</v>
      </c>
      <c r="K97" s="68"/>
      <c r="L97" s="68"/>
      <c r="CQ97" s="78" t="s">
        <v>541</v>
      </c>
    </row>
    <row r="98" spans="1:12" ht="14.25">
      <c r="A98" s="69"/>
      <c r="B98" s="70"/>
      <c r="C98" s="106" t="s">
        <v>542</v>
      </c>
      <c r="D98" s="105"/>
      <c r="E98" s="105"/>
      <c r="F98" s="105"/>
      <c r="G98" s="105"/>
      <c r="H98" s="105"/>
      <c r="I98" s="71"/>
      <c r="J98" s="72"/>
      <c r="K98" s="72"/>
      <c r="L98" s="72"/>
    </row>
    <row r="99" spans="1:12" ht="14.25">
      <c r="A99" s="69"/>
      <c r="B99" s="70"/>
      <c r="C99" s="105" t="s">
        <v>543</v>
      </c>
      <c r="D99" s="105"/>
      <c r="E99" s="105"/>
      <c r="F99" s="105"/>
      <c r="G99" s="105"/>
      <c r="H99" s="105"/>
      <c r="I99" s="71"/>
      <c r="J99" s="72">
        <f>SUM(Q48:Q95)</f>
        <v>835.28</v>
      </c>
      <c r="K99" s="72"/>
      <c r="L99" s="72"/>
    </row>
    <row r="100" spans="1:12" ht="14.25">
      <c r="A100" s="69"/>
      <c r="B100" s="70"/>
      <c r="C100" s="105" t="s">
        <v>544</v>
      </c>
      <c r="D100" s="105"/>
      <c r="E100" s="105"/>
      <c r="F100" s="105"/>
      <c r="G100" s="105"/>
      <c r="H100" s="105"/>
      <c r="I100" s="71"/>
      <c r="J100" s="72">
        <f>SUM(AB48:AB95)</f>
        <v>104.68</v>
      </c>
      <c r="K100" s="72"/>
      <c r="L100" s="72"/>
    </row>
    <row r="101" spans="1:12" ht="13.5" customHeight="1" hidden="1">
      <c r="A101" s="69"/>
      <c r="B101" s="70"/>
      <c r="C101" s="105" t="s">
        <v>545</v>
      </c>
      <c r="D101" s="105"/>
      <c r="E101" s="105"/>
      <c r="F101" s="105"/>
      <c r="G101" s="105"/>
      <c r="H101" s="105"/>
      <c r="I101" s="71"/>
      <c r="J101" s="72">
        <f>Source!F42-J106</f>
        <v>0</v>
      </c>
      <c r="K101" s="72"/>
      <c r="L101" s="72"/>
    </row>
    <row r="102" spans="1:12" ht="13.5" customHeight="1" hidden="1">
      <c r="A102" s="69"/>
      <c r="B102" s="70"/>
      <c r="C102" s="105" t="s">
        <v>546</v>
      </c>
      <c r="D102" s="105"/>
      <c r="E102" s="105"/>
      <c r="F102" s="105"/>
      <c r="G102" s="105"/>
      <c r="H102" s="105"/>
      <c r="I102" s="71"/>
      <c r="J102" s="72">
        <f>Source!F64</f>
        <v>0</v>
      </c>
      <c r="K102" s="72"/>
      <c r="L102" s="72"/>
    </row>
    <row r="103" spans="1:12" ht="14.25">
      <c r="A103" s="69"/>
      <c r="B103" s="70"/>
      <c r="C103" s="105" t="s">
        <v>547</v>
      </c>
      <c r="D103" s="105"/>
      <c r="E103" s="105"/>
      <c r="F103" s="105"/>
      <c r="G103" s="105"/>
      <c r="H103" s="105"/>
      <c r="I103" s="71"/>
      <c r="J103" s="72">
        <f>SUM(Q48:Q95)+SUM(X48:X95)</f>
        <v>851.51</v>
      </c>
      <c r="K103" s="72"/>
      <c r="L103" s="72"/>
    </row>
    <row r="104" spans="1:12" ht="14.25">
      <c r="A104" s="69"/>
      <c r="B104" s="70"/>
      <c r="C104" s="105" t="s">
        <v>548</v>
      </c>
      <c r="D104" s="105"/>
      <c r="E104" s="105"/>
      <c r="F104" s="105"/>
      <c r="G104" s="105"/>
      <c r="H104" s="105"/>
      <c r="I104" s="71"/>
      <c r="J104" s="72">
        <f>Source!F65</f>
        <v>979.54</v>
      </c>
      <c r="K104" s="72"/>
      <c r="L104" s="72"/>
    </row>
    <row r="105" spans="1:12" ht="14.25">
      <c r="A105" s="69"/>
      <c r="B105" s="70"/>
      <c r="C105" s="105" t="s">
        <v>549</v>
      </c>
      <c r="D105" s="105"/>
      <c r="E105" s="105"/>
      <c r="F105" s="105"/>
      <c r="G105" s="105"/>
      <c r="H105" s="105"/>
      <c r="I105" s="71"/>
      <c r="J105" s="72">
        <f>Source!F66</f>
        <v>707.29</v>
      </c>
      <c r="K105" s="72"/>
      <c r="L105" s="72"/>
    </row>
    <row r="106" spans="1:12" ht="13.5" customHeight="1" hidden="1">
      <c r="A106" s="69"/>
      <c r="B106" s="70"/>
      <c r="C106" s="105" t="s">
        <v>550</v>
      </c>
      <c r="D106" s="105"/>
      <c r="E106" s="105"/>
      <c r="F106" s="105"/>
      <c r="G106" s="105"/>
      <c r="H106" s="105"/>
      <c r="I106" s="71"/>
      <c r="J106" s="72">
        <f>Source!F48</f>
        <v>0</v>
      </c>
      <c r="K106" s="72"/>
      <c r="L106" s="72"/>
    </row>
    <row r="107" spans="1:12" ht="13.5" customHeight="1" hidden="1">
      <c r="A107" s="69"/>
      <c r="B107" s="70"/>
      <c r="C107" s="105" t="s">
        <v>551</v>
      </c>
      <c r="D107" s="105"/>
      <c r="E107" s="105"/>
      <c r="F107" s="105"/>
      <c r="G107" s="105"/>
      <c r="H107" s="105"/>
      <c r="I107" s="71"/>
      <c r="J107" s="72">
        <f>Source!F58</f>
        <v>0</v>
      </c>
      <c r="K107" s="72"/>
      <c r="L107" s="72"/>
    </row>
    <row r="108" spans="1:12" ht="15">
      <c r="A108" s="65"/>
      <c r="B108" s="66"/>
      <c r="C108" s="107" t="s">
        <v>552</v>
      </c>
      <c r="D108" s="107"/>
      <c r="E108" s="107"/>
      <c r="F108" s="107"/>
      <c r="G108" s="107"/>
      <c r="H108" s="107"/>
      <c r="I108" s="67"/>
      <c r="J108" s="68">
        <f>Source!F67</f>
        <v>2626.79</v>
      </c>
      <c r="K108" s="68"/>
      <c r="L108" s="68"/>
    </row>
    <row r="109" spans="1:12" ht="13.5" customHeight="1" hidden="1">
      <c r="A109" s="69"/>
      <c r="B109" s="70"/>
      <c r="C109" s="106" t="s">
        <v>542</v>
      </c>
      <c r="D109" s="105"/>
      <c r="E109" s="105"/>
      <c r="F109" s="105"/>
      <c r="G109" s="105"/>
      <c r="H109" s="105"/>
      <c r="I109" s="71"/>
      <c r="J109" s="72"/>
      <c r="K109" s="72"/>
      <c r="L109" s="72"/>
    </row>
    <row r="110" spans="1:12" ht="13.5" customHeight="1" hidden="1">
      <c r="A110" s="69"/>
      <c r="B110" s="70"/>
      <c r="C110" s="105" t="s">
        <v>553</v>
      </c>
      <c r="D110" s="105"/>
      <c r="E110" s="105"/>
      <c r="F110" s="105"/>
      <c r="G110" s="105"/>
      <c r="H110" s="105"/>
      <c r="I110" s="71"/>
      <c r="J110" s="72"/>
      <c r="K110" s="72"/>
      <c r="L110" s="72">
        <f>SUM(BS48:BS95)</f>
        <v>0</v>
      </c>
    </row>
    <row r="111" spans="1:12" ht="13.5" customHeight="1" hidden="1">
      <c r="A111" s="69"/>
      <c r="B111" s="70"/>
      <c r="C111" s="105" t="s">
        <v>554</v>
      </c>
      <c r="D111" s="105"/>
      <c r="E111" s="105"/>
      <c r="F111" s="105"/>
      <c r="G111" s="105"/>
      <c r="H111" s="105"/>
      <c r="I111" s="71"/>
      <c r="J111" s="72"/>
      <c r="K111" s="72"/>
      <c r="L111" s="72">
        <f>SUM(BT48:BT95)</f>
        <v>0</v>
      </c>
    </row>
    <row r="112" spans="3:10" ht="14.25">
      <c r="C112" s="113" t="str">
        <f>Source!H68</f>
        <v>итого по разделу</v>
      </c>
      <c r="D112" s="113"/>
      <c r="E112" s="113"/>
      <c r="F112" s="113"/>
      <c r="G112" s="113"/>
      <c r="H112" s="113"/>
      <c r="I112" s="113"/>
      <c r="J112" s="49">
        <f>IF(Source!Z68=0,"",Source!Z68)</f>
        <v>2626.79</v>
      </c>
    </row>
    <row r="114" spans="1:12" ht="16.5">
      <c r="A114" s="109" t="s">
        <v>555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56" ht="14.25">
      <c r="A115" s="73">
        <v>5</v>
      </c>
      <c r="B115" s="73" t="str">
        <f>Source!F75</f>
        <v>47-01-001-02</v>
      </c>
      <c r="C115" s="73" t="str">
        <f>Source!G75</f>
        <v>Планировка участка: вручную</v>
      </c>
      <c r="D115" s="56" t="str">
        <f>Source!H75</f>
        <v>100 м2</v>
      </c>
      <c r="E115" s="51">
        <f>Source!K75</f>
        <v>1.733</v>
      </c>
      <c r="F115" s="51"/>
      <c r="G115" s="51">
        <f>Source!I75</f>
        <v>1.733</v>
      </c>
      <c r="H115" s="49"/>
      <c r="I115" s="57"/>
      <c r="J115" s="49"/>
      <c r="K115" s="57"/>
      <c r="L115" s="49"/>
      <c r="AG115">
        <f>Source!X75</f>
        <v>142.02</v>
      </c>
      <c r="AH115">
        <f>Source!HK75</f>
        <v>5179.33</v>
      </c>
      <c r="AI115">
        <f>Source!Y75</f>
        <v>99.27</v>
      </c>
      <c r="AJ115">
        <f>Source!HL75</f>
        <v>3620.51</v>
      </c>
      <c r="AS115">
        <f>IF(Source!BI75&lt;=1,AH115,0)</f>
        <v>5179.33</v>
      </c>
      <c r="AT115">
        <f>IF(Source!BI75&lt;=1,AJ115,0)</f>
        <v>3620.51</v>
      </c>
      <c r="BC115">
        <f>IF(Source!BI75=2,AH115,0)</f>
        <v>0</v>
      </c>
      <c r="BD115">
        <f>IF(Source!BI75=2,AJ115,0)</f>
        <v>0</v>
      </c>
    </row>
    <row r="117" ht="12.75">
      <c r="C117" s="45" t="str">
        <f>"Объем: "&amp;Source!K75&amp;"=173,3/"&amp;"100"</f>
        <v>Объем: 1,733=173,3/100</v>
      </c>
    </row>
    <row r="118" spans="1:12" ht="14.25">
      <c r="A118" s="73"/>
      <c r="B118" s="74">
        <v>1</v>
      </c>
      <c r="C118" s="73" t="s">
        <v>522</v>
      </c>
      <c r="D118" s="56"/>
      <c r="E118" s="51"/>
      <c r="F118" s="51"/>
      <c r="G118" s="51"/>
      <c r="H118" s="49">
        <f>Source!AO75</f>
        <v>79.56</v>
      </c>
      <c r="I118" s="57"/>
      <c r="J118" s="49">
        <f>ROUND(Source!AF75*Source!I75,2)</f>
        <v>137.88</v>
      </c>
      <c r="K118" s="57">
        <f>IF(Source!BA75&lt;&gt;0,Source!BA75,1)</f>
        <v>36.47</v>
      </c>
      <c r="L118" s="49">
        <f>Source!HJ75</f>
        <v>5028.48</v>
      </c>
    </row>
    <row r="119" spans="1:12" ht="14.25">
      <c r="A119" s="73"/>
      <c r="B119" s="73"/>
      <c r="C119" s="75" t="s">
        <v>525</v>
      </c>
      <c r="D119" s="59" t="s">
        <v>526</v>
      </c>
      <c r="E119" s="60">
        <f>Source!AQ75</f>
        <v>10.2</v>
      </c>
      <c r="F119" s="60"/>
      <c r="G119" s="104">
        <f>ROUND(Source!U75,7)</f>
        <v>17.6766</v>
      </c>
      <c r="H119" s="61"/>
      <c r="I119" s="62"/>
      <c r="J119" s="61"/>
      <c r="K119" s="62"/>
      <c r="L119" s="61"/>
    </row>
    <row r="120" spans="1:12" ht="14.25">
      <c r="A120" s="73"/>
      <c r="B120" s="73"/>
      <c r="C120" s="73" t="s">
        <v>528</v>
      </c>
      <c r="D120" s="56"/>
      <c r="E120" s="51"/>
      <c r="F120" s="51"/>
      <c r="G120" s="51"/>
      <c r="H120" s="49">
        <f>H118</f>
        <v>79.56</v>
      </c>
      <c r="I120" s="57"/>
      <c r="J120" s="49">
        <f>J118</f>
        <v>137.88</v>
      </c>
      <c r="K120" s="57"/>
      <c r="L120" s="49"/>
    </row>
    <row r="121" spans="1:12" ht="14.25">
      <c r="A121" s="73"/>
      <c r="B121" s="73"/>
      <c r="C121" s="73" t="s">
        <v>529</v>
      </c>
      <c r="D121" s="56"/>
      <c r="E121" s="51"/>
      <c r="F121" s="51"/>
      <c r="G121" s="51"/>
      <c r="H121" s="49"/>
      <c r="I121" s="57"/>
      <c r="J121" s="49">
        <f>SUM(Q115:Q124)+SUM(V115:V124)+SUM(X115:X124)+SUM(Y115:Y124)</f>
        <v>137.88</v>
      </c>
      <c r="K121" s="57"/>
      <c r="L121" s="49">
        <f>SUM(U115:U124)+SUM(W115:W124)+SUM(Z115:Z124)+SUM(AA115:AA124)</f>
        <v>5028.48</v>
      </c>
    </row>
    <row r="122" spans="1:12" ht="28.5">
      <c r="A122" s="73"/>
      <c r="B122" s="73" t="s">
        <v>130</v>
      </c>
      <c r="C122" s="73" t="s">
        <v>556</v>
      </c>
      <c r="D122" s="56" t="s">
        <v>531</v>
      </c>
      <c r="E122" s="51">
        <f>Source!BZ75</f>
        <v>103</v>
      </c>
      <c r="F122" s="51"/>
      <c r="G122" s="51">
        <f>Source!AT75</f>
        <v>103</v>
      </c>
      <c r="H122" s="49"/>
      <c r="I122" s="57"/>
      <c r="J122" s="49">
        <f>SUM(AG115:AG124)</f>
        <v>142.02</v>
      </c>
      <c r="K122" s="57"/>
      <c r="L122" s="49">
        <f>SUM(AH115:AH124)</f>
        <v>5179.33</v>
      </c>
    </row>
    <row r="123" spans="1:12" ht="28.5">
      <c r="A123" s="75"/>
      <c r="B123" s="75" t="s">
        <v>131</v>
      </c>
      <c r="C123" s="75" t="s">
        <v>557</v>
      </c>
      <c r="D123" s="59" t="s">
        <v>531</v>
      </c>
      <c r="E123" s="60">
        <f>Source!CA75</f>
        <v>72</v>
      </c>
      <c r="F123" s="60"/>
      <c r="G123" s="60">
        <f>Source!AU75</f>
        <v>72</v>
      </c>
      <c r="H123" s="61"/>
      <c r="I123" s="62"/>
      <c r="J123" s="61">
        <f>SUM(AI115:AI124)</f>
        <v>99.27</v>
      </c>
      <c r="K123" s="62"/>
      <c r="L123" s="61">
        <f>SUM(AJ115:AJ124)</f>
        <v>3620.51</v>
      </c>
    </row>
    <row r="124" spans="3:53" ht="15">
      <c r="C124" s="108" t="s">
        <v>533</v>
      </c>
      <c r="D124" s="108"/>
      <c r="E124" s="108"/>
      <c r="F124" s="108"/>
      <c r="G124" s="108"/>
      <c r="H124" s="108"/>
      <c r="I124" s="108">
        <f>J118+J122+J123</f>
        <v>379.16999999999996</v>
      </c>
      <c r="J124" s="108"/>
      <c r="O124" s="47">
        <f>I124</f>
        <v>379.16999999999996</v>
      </c>
      <c r="P124">
        <f>K124</f>
        <v>0</v>
      </c>
      <c r="Q124" s="47">
        <f>J118</f>
        <v>137.88</v>
      </c>
      <c r="R124" s="47">
        <f>J118</f>
        <v>137.88</v>
      </c>
      <c r="U124" s="47">
        <f>L118</f>
        <v>5028.48</v>
      </c>
      <c r="X124">
        <f>0</f>
        <v>0</v>
      </c>
      <c r="Z124">
        <f>0</f>
        <v>0</v>
      </c>
      <c r="AB124">
        <f>0</f>
        <v>0</v>
      </c>
      <c r="AD124">
        <f>0</f>
        <v>0</v>
      </c>
      <c r="AF124">
        <f>0</f>
        <v>0</v>
      </c>
      <c r="AN124">
        <f>IF(Source!BI75&lt;=1,J118+J122+J123,0)</f>
        <v>379.16999999999996</v>
      </c>
      <c r="AO124">
        <f>IF(Source!BI75&lt;=1,0,0)</f>
        <v>0</v>
      </c>
      <c r="AP124">
        <f>IF(Source!BI75&lt;=1,0,0)</f>
        <v>0</v>
      </c>
      <c r="AQ124">
        <f>IF(Source!BI75&lt;=1,J118,0)</f>
        <v>137.88</v>
      </c>
      <c r="AX124">
        <f>IF(Source!BI75=2,J118+J122+J123,0)</f>
        <v>0</v>
      </c>
      <c r="AY124">
        <f>IF(Source!BI75=2,0,0)</f>
        <v>0</v>
      </c>
      <c r="AZ124">
        <f>IF(Source!BI75=2,0,0)</f>
        <v>0</v>
      </c>
      <c r="BA124">
        <f>IF(Source!BI75=2,J118,0)</f>
        <v>0</v>
      </c>
    </row>
    <row r="125" spans="1:56" ht="130.5">
      <c r="A125" s="73">
        <v>6</v>
      </c>
      <c r="B125" s="73" t="str">
        <f>Source!F77</f>
        <v>01-02-005-01</v>
      </c>
      <c r="C125" s="73" t="s">
        <v>558</v>
      </c>
      <c r="D125" s="56" t="str">
        <f>Source!H77</f>
        <v>100 м3</v>
      </c>
      <c r="E125" s="51">
        <f>Source!K77</f>
        <v>0.16</v>
      </c>
      <c r="F125" s="51"/>
      <c r="G125" s="51">
        <f>Source!I77</f>
        <v>0.16</v>
      </c>
      <c r="H125" s="49"/>
      <c r="I125" s="57"/>
      <c r="J125" s="49"/>
      <c r="K125" s="57"/>
      <c r="L125" s="49"/>
      <c r="AG125">
        <f>Source!X77</f>
        <v>20.65</v>
      </c>
      <c r="AH125">
        <f>Source!HK77</f>
        <v>753.12</v>
      </c>
      <c r="AI125">
        <f>Source!Y77</f>
        <v>9.75</v>
      </c>
      <c r="AJ125">
        <f>Source!HL77</f>
        <v>355.64</v>
      </c>
      <c r="AS125">
        <f>IF(Source!BI77&lt;=1,AH125,0)</f>
        <v>753.12</v>
      </c>
      <c r="AT125">
        <f>IF(Source!BI77&lt;=1,AJ125,0)</f>
        <v>355.64</v>
      </c>
      <c r="BC125">
        <f>IF(Source!BI77=2,AH125,0)</f>
        <v>0</v>
      </c>
      <c r="BD125">
        <f>IF(Source!BI77=2,AJ125,0)</f>
        <v>0</v>
      </c>
    </row>
    <row r="126" spans="2:3" ht="165.75">
      <c r="B126" s="48" t="str">
        <f>Source!EO77</f>
        <v>Поправка: М-ка 421/пр 04.08.20 п.58 п.п. б)</v>
      </c>
      <c r="C126" s="48" t="str">
        <f>Source!CN77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27" ht="12.75">
      <c r="C127" s="45" t="str">
        <f>"Объем: "&amp;Source!K77&amp;"=16/"&amp;"100"</f>
        <v>Объем: 0,16=16/100</v>
      </c>
    </row>
    <row r="128" spans="1:12" ht="14.25">
      <c r="A128" s="73"/>
      <c r="B128" s="74">
        <v>1</v>
      </c>
      <c r="C128" s="73" t="s">
        <v>522</v>
      </c>
      <c r="D128" s="56"/>
      <c r="E128" s="51"/>
      <c r="F128" s="51"/>
      <c r="G128" s="51"/>
      <c r="H128" s="49">
        <f>Source!AO77</f>
        <v>106.88</v>
      </c>
      <c r="I128" s="57">
        <f>ROUND(1.15,7)</f>
        <v>1.15</v>
      </c>
      <c r="J128" s="49">
        <f>ROUND(Source!AF77*Source!I77,2)</f>
        <v>19.67</v>
      </c>
      <c r="K128" s="57">
        <f>IF(Source!BA77&lt;&gt;0,Source!BA77,1)</f>
        <v>36.47</v>
      </c>
      <c r="L128" s="49">
        <f>Source!HJ77</f>
        <v>717.36</v>
      </c>
    </row>
    <row r="129" spans="1:12" ht="14.25">
      <c r="A129" s="73"/>
      <c r="B129" s="74">
        <v>3</v>
      </c>
      <c r="C129" s="73" t="s">
        <v>523</v>
      </c>
      <c r="D129" s="56"/>
      <c r="E129" s="51"/>
      <c r="F129" s="51"/>
      <c r="G129" s="51"/>
      <c r="H129" s="49">
        <f>Source!AM77</f>
        <v>241.58</v>
      </c>
      <c r="I129" s="57">
        <f>ROUND(1.25,7)</f>
        <v>1.25</v>
      </c>
      <c r="J129" s="49">
        <f>ROUND(((((Source!ET77*ROUND(1.25,7)))-((Source!EU77*ROUND(1.25,7))))+Source!AE77)*Source!I77,2)</f>
        <v>48.32</v>
      </c>
      <c r="K129" s="57"/>
      <c r="L129" s="49"/>
    </row>
    <row r="130" spans="1:12" ht="14.25">
      <c r="A130" s="73"/>
      <c r="B130" s="74">
        <v>2</v>
      </c>
      <c r="C130" s="73" t="s">
        <v>524</v>
      </c>
      <c r="D130" s="56"/>
      <c r="E130" s="51"/>
      <c r="F130" s="51"/>
      <c r="G130" s="51"/>
      <c r="H130" s="49">
        <f>Source!AN77</f>
        <v>26.36</v>
      </c>
      <c r="I130" s="57">
        <f>ROUND(1.25,7)</f>
        <v>1.25</v>
      </c>
      <c r="J130" s="58">
        <f>ROUND(Source!AE77*Source!I77,2)</f>
        <v>5.27</v>
      </c>
      <c r="K130" s="57">
        <f>IF(Source!BS77&lt;&gt;0,Source!BS77,1)</f>
        <v>36.47</v>
      </c>
      <c r="L130" s="58">
        <f>Source!HI77</f>
        <v>192.2</v>
      </c>
    </row>
    <row r="131" spans="1:12" ht="14.25">
      <c r="A131" s="73"/>
      <c r="B131" s="73"/>
      <c r="C131" s="73" t="s">
        <v>525</v>
      </c>
      <c r="D131" s="56" t="s">
        <v>526</v>
      </c>
      <c r="E131" s="51">
        <f>Source!AQ77</f>
        <v>12.53</v>
      </c>
      <c r="F131" s="51">
        <f>ROUND(1.15,7)</f>
        <v>1.15</v>
      </c>
      <c r="G131" s="103">
        <f>ROUND(Source!U77,7)</f>
        <v>2.30552</v>
      </c>
      <c r="H131" s="49"/>
      <c r="I131" s="57"/>
      <c r="J131" s="49"/>
      <c r="K131" s="57"/>
      <c r="L131" s="49"/>
    </row>
    <row r="132" spans="1:12" ht="14.25">
      <c r="A132" s="73"/>
      <c r="B132" s="73"/>
      <c r="C132" s="75" t="s">
        <v>527</v>
      </c>
      <c r="D132" s="59" t="s">
        <v>526</v>
      </c>
      <c r="E132" s="60">
        <f>Source!AR77</f>
        <v>2.62</v>
      </c>
      <c r="F132" s="60">
        <f>ROUND(1.25,7)</f>
        <v>1.25</v>
      </c>
      <c r="G132" s="104">
        <f>ROUND(Source!V77,7)</f>
        <v>0.524</v>
      </c>
      <c r="H132" s="61"/>
      <c r="I132" s="62"/>
      <c r="J132" s="61"/>
      <c r="K132" s="62"/>
      <c r="L132" s="61"/>
    </row>
    <row r="133" spans="1:12" ht="14.25">
      <c r="A133" s="73"/>
      <c r="B133" s="73"/>
      <c r="C133" s="73" t="s">
        <v>528</v>
      </c>
      <c r="D133" s="56"/>
      <c r="E133" s="51"/>
      <c r="F133" s="51"/>
      <c r="G133" s="51"/>
      <c r="H133" s="49">
        <f>H128+H129</f>
        <v>348.46000000000004</v>
      </c>
      <c r="I133" s="57"/>
      <c r="J133" s="49">
        <f>J128+J129</f>
        <v>67.99000000000001</v>
      </c>
      <c r="K133" s="57"/>
      <c r="L133" s="49"/>
    </row>
    <row r="134" spans="1:12" ht="14.25">
      <c r="A134" s="73"/>
      <c r="B134" s="73"/>
      <c r="C134" s="73" t="s">
        <v>529</v>
      </c>
      <c r="D134" s="56"/>
      <c r="E134" s="51"/>
      <c r="F134" s="51"/>
      <c r="G134" s="51"/>
      <c r="H134" s="49"/>
      <c r="I134" s="57"/>
      <c r="J134" s="49">
        <f>SUM(Q125:Q137)+SUM(V125:V137)+SUM(X125:X137)+SUM(Y125:Y137)</f>
        <v>24.94</v>
      </c>
      <c r="K134" s="57"/>
      <c r="L134" s="49">
        <f>SUM(U125:U137)+SUM(W125:W137)+SUM(Z125:Z137)+SUM(AA125:AA137)</f>
        <v>909.56</v>
      </c>
    </row>
    <row r="135" spans="1:12" ht="28.5">
      <c r="A135" s="73"/>
      <c r="B135" s="73" t="s">
        <v>559</v>
      </c>
      <c r="C135" s="73" t="s">
        <v>560</v>
      </c>
      <c r="D135" s="56" t="s">
        <v>531</v>
      </c>
      <c r="E135" s="51">
        <f>Source!BZ77</f>
        <v>92</v>
      </c>
      <c r="F135" s="51">
        <f>ROUND(0.9,7)</f>
        <v>0.9</v>
      </c>
      <c r="G135" s="51">
        <f>Source!AT77</f>
        <v>82.8</v>
      </c>
      <c r="H135" s="49"/>
      <c r="I135" s="57"/>
      <c r="J135" s="49">
        <f>SUM(AG125:AG137)</f>
        <v>20.65</v>
      </c>
      <c r="K135" s="57"/>
      <c r="L135" s="49">
        <f>SUM(AH125:AH137)</f>
        <v>753.12</v>
      </c>
    </row>
    <row r="136" spans="1:12" ht="28.5">
      <c r="A136" s="75"/>
      <c r="B136" s="75" t="s">
        <v>561</v>
      </c>
      <c r="C136" s="75" t="s">
        <v>562</v>
      </c>
      <c r="D136" s="59" t="s">
        <v>531</v>
      </c>
      <c r="E136" s="60">
        <f>Source!CA77</f>
        <v>46</v>
      </c>
      <c r="F136" s="60">
        <f>ROUND(0.85,7)</f>
        <v>0.85</v>
      </c>
      <c r="G136" s="60">
        <f>Source!AU77</f>
        <v>39.1</v>
      </c>
      <c r="H136" s="61"/>
      <c r="I136" s="62"/>
      <c r="J136" s="61">
        <f>SUM(AI125:AI137)</f>
        <v>9.75</v>
      </c>
      <c r="K136" s="62"/>
      <c r="L136" s="61">
        <f>SUM(AJ125:AJ137)</f>
        <v>355.64</v>
      </c>
    </row>
    <row r="137" spans="3:53" ht="15">
      <c r="C137" s="108" t="s">
        <v>533</v>
      </c>
      <c r="D137" s="108"/>
      <c r="E137" s="108"/>
      <c r="F137" s="108"/>
      <c r="G137" s="108"/>
      <c r="H137" s="108"/>
      <c r="I137" s="108">
        <f>J128+J129+J135+J136</f>
        <v>98.39000000000001</v>
      </c>
      <c r="J137" s="108"/>
      <c r="O137" s="47">
        <f>I137</f>
        <v>98.39000000000001</v>
      </c>
      <c r="P137">
        <f>K137</f>
        <v>0</v>
      </c>
      <c r="Q137" s="47">
        <f>J128</f>
        <v>19.67</v>
      </c>
      <c r="R137" s="47">
        <f>J128</f>
        <v>19.67</v>
      </c>
      <c r="U137" s="47">
        <f>L128</f>
        <v>717.36</v>
      </c>
      <c r="X137" s="47">
        <f>J130</f>
        <v>5.27</v>
      </c>
      <c r="Z137" s="47">
        <f>L130</f>
        <v>192.2</v>
      </c>
      <c r="AB137" s="47">
        <f>J129</f>
        <v>48.32</v>
      </c>
      <c r="AD137" s="47">
        <f>L129</f>
        <v>0</v>
      </c>
      <c r="AF137">
        <f>0</f>
        <v>0</v>
      </c>
      <c r="AN137">
        <f>IF(Source!BI77&lt;=1,J128+J129+J135+J136,0)</f>
        <v>98.39000000000001</v>
      </c>
      <c r="AO137">
        <f>IF(Source!BI77&lt;=1,0,0)</f>
        <v>0</v>
      </c>
      <c r="AP137">
        <f>IF(Source!BI77&lt;=1,J129,0)</f>
        <v>48.32</v>
      </c>
      <c r="AQ137">
        <f>IF(Source!BI77&lt;=1,J128,0)</f>
        <v>19.67</v>
      </c>
      <c r="AX137">
        <f>IF(Source!BI77=2,J128+J129+J135+J136,0)</f>
        <v>0</v>
      </c>
      <c r="AY137">
        <f>IF(Source!BI77=2,0,0)</f>
        <v>0</v>
      </c>
      <c r="AZ137">
        <f>IF(Source!BI77=2,J129,0)</f>
        <v>0</v>
      </c>
      <c r="BA137">
        <f>IF(Source!BI77=2,J128,0)</f>
        <v>0</v>
      </c>
    </row>
    <row r="138" spans="1:56" ht="130.5">
      <c r="A138" s="73">
        <v>7</v>
      </c>
      <c r="B138" s="73" t="str">
        <f>Source!F79</f>
        <v>11-01-005-01</v>
      </c>
      <c r="C138" s="73" t="s">
        <v>563</v>
      </c>
      <c r="D138" s="56" t="str">
        <f>Source!H79</f>
        <v>100 м2</v>
      </c>
      <c r="E138" s="51">
        <f>Source!K79</f>
        <v>1.733</v>
      </c>
      <c r="F138" s="51"/>
      <c r="G138" s="51">
        <f>Source!I79</f>
        <v>1.733</v>
      </c>
      <c r="H138" s="49"/>
      <c r="I138" s="57"/>
      <c r="J138" s="49"/>
      <c r="K138" s="57"/>
      <c r="L138" s="49"/>
      <c r="AG138">
        <f>Source!X79</f>
        <v>2945.53</v>
      </c>
      <c r="AH138">
        <f>Source!HK79</f>
        <v>107423.38</v>
      </c>
      <c r="AI138">
        <f>Source!Y79</f>
        <v>1614.49</v>
      </c>
      <c r="AJ138">
        <f>Source!HL79</f>
        <v>58880.37</v>
      </c>
      <c r="AS138">
        <f>IF(Source!BI79&lt;=1,AH138,0)</f>
        <v>107423.38</v>
      </c>
      <c r="AT138">
        <f>IF(Source!BI79&lt;=1,AJ138,0)</f>
        <v>58880.37</v>
      </c>
      <c r="BC138">
        <f>IF(Source!BI79=2,AH138,0)</f>
        <v>0</v>
      </c>
      <c r="BD138">
        <f>IF(Source!BI79=2,AJ138,0)</f>
        <v>0</v>
      </c>
    </row>
    <row r="139" spans="2:3" ht="165.75">
      <c r="B139" s="48" t="str">
        <f>Source!EO79</f>
        <v>Поправка: М-ка 421/пр 04.08.20 п.58 п.п. б)</v>
      </c>
      <c r="C139" s="48" t="str">
        <f>Source!CN79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40" ht="12.75">
      <c r="C140" s="45" t="str">
        <f>"Объем: "&amp;Source!K79&amp;"=173,3/"&amp;"100"</f>
        <v>Объем: 1,733=173,3/100</v>
      </c>
    </row>
    <row r="141" spans="1:12" ht="14.25">
      <c r="A141" s="73"/>
      <c r="B141" s="74">
        <v>1</v>
      </c>
      <c r="C141" s="73" t="s">
        <v>522</v>
      </c>
      <c r="D141" s="56"/>
      <c r="E141" s="51"/>
      <c r="F141" s="51"/>
      <c r="G141" s="51"/>
      <c r="H141" s="49">
        <f>Source!AO79</f>
        <v>1408.98</v>
      </c>
      <c r="I141" s="57">
        <f>ROUND(1.15,7)</f>
        <v>1.15</v>
      </c>
      <c r="J141" s="49">
        <f>ROUND(Source!AF79*Source!I79,2)</f>
        <v>2808.03</v>
      </c>
      <c r="K141" s="57">
        <f>IF(Source!BA79&lt;&gt;0,Source!BA79,1)</f>
        <v>36.47</v>
      </c>
      <c r="L141" s="49">
        <f>Source!HJ79</f>
        <v>102408.85</v>
      </c>
    </row>
    <row r="142" spans="1:12" ht="14.25">
      <c r="A142" s="73"/>
      <c r="B142" s="74">
        <v>3</v>
      </c>
      <c r="C142" s="73" t="s">
        <v>523</v>
      </c>
      <c r="D142" s="56"/>
      <c r="E142" s="51"/>
      <c r="F142" s="51"/>
      <c r="G142" s="51"/>
      <c r="H142" s="49">
        <f>Source!AM79</f>
        <v>79.23</v>
      </c>
      <c r="I142" s="57">
        <f>ROUND(1.25,7)</f>
        <v>1.25</v>
      </c>
      <c r="J142" s="49">
        <f>ROUND(((((Source!ET79*ROUND(1.25,7)))-((Source!EU79*ROUND(1.25,7))))+Source!AE79)*Source!I79,2)</f>
        <v>171.63</v>
      </c>
      <c r="K142" s="57"/>
      <c r="L142" s="49"/>
    </row>
    <row r="143" spans="1:12" ht="14.25">
      <c r="A143" s="73"/>
      <c r="B143" s="74">
        <v>2</v>
      </c>
      <c r="C143" s="73" t="s">
        <v>524</v>
      </c>
      <c r="D143" s="56"/>
      <c r="E143" s="51"/>
      <c r="F143" s="51"/>
      <c r="G143" s="51"/>
      <c r="H143" s="49">
        <f>Source!AN79</f>
        <v>52.68</v>
      </c>
      <c r="I143" s="57">
        <f>ROUND(1.25,7)</f>
        <v>1.25</v>
      </c>
      <c r="J143" s="58">
        <f>ROUND(Source!AE79*Source!I79,2)</f>
        <v>114.12</v>
      </c>
      <c r="K143" s="57">
        <f>IF(Source!BS79&lt;&gt;0,Source!BS79,1)</f>
        <v>36.47</v>
      </c>
      <c r="L143" s="58">
        <f>Source!HI79</f>
        <v>4161.96</v>
      </c>
    </row>
    <row r="144" spans="1:12" ht="14.25">
      <c r="A144" s="73"/>
      <c r="B144" s="74">
        <v>4</v>
      </c>
      <c r="C144" s="73" t="s">
        <v>564</v>
      </c>
      <c r="D144" s="56"/>
      <c r="E144" s="51"/>
      <c r="F144" s="51"/>
      <c r="G144" s="51"/>
      <c r="H144" s="49">
        <f>Source!AL79</f>
        <v>3427.78</v>
      </c>
      <c r="I144" s="57"/>
      <c r="J144" s="49">
        <f>ROUND(Source!AC79*Source!I79,2)</f>
        <v>5940.34</v>
      </c>
      <c r="K144" s="57"/>
      <c r="L144" s="49"/>
    </row>
    <row r="145" spans="1:12" ht="14.25">
      <c r="A145" s="73"/>
      <c r="B145" s="73"/>
      <c r="C145" s="73" t="s">
        <v>525</v>
      </c>
      <c r="D145" s="56" t="s">
        <v>526</v>
      </c>
      <c r="E145" s="51">
        <f>Source!AQ79</f>
        <v>138</v>
      </c>
      <c r="F145" s="51">
        <f>ROUND(1.15,7)</f>
        <v>1.15</v>
      </c>
      <c r="G145" s="103">
        <f>ROUND(Source!U79,7)</f>
        <v>275.0271</v>
      </c>
      <c r="H145" s="49"/>
      <c r="I145" s="57"/>
      <c r="J145" s="49"/>
      <c r="K145" s="57"/>
      <c r="L145" s="49"/>
    </row>
    <row r="146" spans="1:12" ht="14.25">
      <c r="A146" s="73"/>
      <c r="B146" s="73"/>
      <c r="C146" s="75" t="s">
        <v>527</v>
      </c>
      <c r="D146" s="59" t="s">
        <v>526</v>
      </c>
      <c r="E146" s="60">
        <f>Source!AR79</f>
        <v>5.16</v>
      </c>
      <c r="F146" s="60">
        <f>ROUND(1.25,7)</f>
        <v>1.25</v>
      </c>
      <c r="G146" s="104">
        <f>ROUND(Source!V79,7)</f>
        <v>11.17785</v>
      </c>
      <c r="H146" s="61"/>
      <c r="I146" s="62"/>
      <c r="J146" s="61"/>
      <c r="K146" s="62"/>
      <c r="L146" s="61"/>
    </row>
    <row r="147" spans="1:12" ht="14.25">
      <c r="A147" s="73"/>
      <c r="B147" s="73"/>
      <c r="C147" s="73" t="s">
        <v>528</v>
      </c>
      <c r="D147" s="56"/>
      <c r="E147" s="51"/>
      <c r="F147" s="51"/>
      <c r="G147" s="51"/>
      <c r="H147" s="49">
        <f>H141+H142+H144</f>
        <v>4915.99</v>
      </c>
      <c r="I147" s="57"/>
      <c r="J147" s="49">
        <f>J141+J142+J144</f>
        <v>8920</v>
      </c>
      <c r="K147" s="57"/>
      <c r="L147" s="49"/>
    </row>
    <row r="148" spans="1:56" ht="42.75">
      <c r="A148" s="73" t="s">
        <v>149</v>
      </c>
      <c r="B148" s="73" t="str">
        <f>Source!F81</f>
        <v>01.2.03.03-0062</v>
      </c>
      <c r="C148" s="73" t="s">
        <v>565</v>
      </c>
      <c r="D148" s="56" t="str">
        <f>Source!H81</f>
        <v>т</v>
      </c>
      <c r="E148" s="103">
        <f>SmtRes!AT54</f>
        <v>-0.116</v>
      </c>
      <c r="F148" s="51"/>
      <c r="G148" s="103">
        <f>Source!I81</f>
        <v>-0.201028</v>
      </c>
      <c r="H148" s="49">
        <f>Source!AL81+Source!AO81+Source!AM81</f>
        <v>1995</v>
      </c>
      <c r="I148" s="57"/>
      <c r="J148" s="49">
        <f>ROUND(Source!AC81*Source!I81,2)+ROUND((((Source!ET81)-(Source!EU81))+Source!AE81)*Source!I81,2)+ROUND(Source!AF81*Source!I81,2)</f>
        <v>-401.05</v>
      </c>
      <c r="K148" s="57"/>
      <c r="L148" s="49"/>
      <c r="AF148" s="47">
        <f aca="true" t="shared" si="0" ref="AF148:AF154">J148</f>
        <v>-401.05</v>
      </c>
      <c r="AG148">
        <f>Source!X81</f>
        <v>0</v>
      </c>
      <c r="AH148">
        <f>Source!HK81</f>
        <v>0</v>
      </c>
      <c r="AI148">
        <f>Source!Y81</f>
        <v>0</v>
      </c>
      <c r="AJ148">
        <f>Source!HL81</f>
        <v>0</v>
      </c>
      <c r="AN148">
        <f>IF(Source!BI81&lt;=1,J148,0)</f>
        <v>-401.05</v>
      </c>
      <c r="AO148">
        <f>IF(Source!BI81&lt;=1,J148,0)</f>
        <v>-401.05</v>
      </c>
      <c r="AS148">
        <f>IF(Source!BI81&lt;=1,AH148,0)</f>
        <v>0</v>
      </c>
      <c r="AT148">
        <f>IF(Source!BI81&lt;=1,AJ148,0)</f>
        <v>0</v>
      </c>
      <c r="AX148">
        <f>IF(Source!BI81=2,J148,0)</f>
        <v>0</v>
      </c>
      <c r="AY148">
        <f>IF(Source!BI81=2,J148,0)</f>
        <v>0</v>
      </c>
      <c r="BC148">
        <f>IF(Source!BI81=2,AH148,0)</f>
        <v>0</v>
      </c>
      <c r="BD148">
        <f>IF(Source!BI81=2,AJ148,0)</f>
        <v>0</v>
      </c>
    </row>
    <row r="149" spans="1:56" ht="28.5">
      <c r="A149" s="73" t="s">
        <v>153</v>
      </c>
      <c r="B149" s="73" t="str">
        <f>Source!F83</f>
        <v>01.3.01.01-0001</v>
      </c>
      <c r="C149" s="73" t="s">
        <v>566</v>
      </c>
      <c r="D149" s="56" t="str">
        <f>Source!H83</f>
        <v>т</v>
      </c>
      <c r="E149" s="103">
        <f>SmtRes!AT55</f>
        <v>-0.047</v>
      </c>
      <c r="F149" s="51"/>
      <c r="G149" s="103">
        <f>Source!I83</f>
        <v>-0.081451</v>
      </c>
      <c r="H149" s="49">
        <f>Source!AL83+Source!AO83+Source!AM83</f>
        <v>4488.4</v>
      </c>
      <c r="I149" s="57"/>
      <c r="J149" s="49">
        <f>ROUND(Source!AC83*Source!I83,2)+ROUND((((Source!ET83)-(Source!EU83))+Source!AE83)*Source!I83,2)+ROUND(Source!AF83*Source!I83,2)</f>
        <v>-365.58</v>
      </c>
      <c r="K149" s="57"/>
      <c r="L149" s="49"/>
      <c r="AF149" s="47">
        <f t="shared" si="0"/>
        <v>-365.58</v>
      </c>
      <c r="AG149">
        <f>Source!X83</f>
        <v>0</v>
      </c>
      <c r="AH149">
        <f>Source!HK83</f>
        <v>0</v>
      </c>
      <c r="AI149">
        <f>Source!Y83</f>
        <v>0</v>
      </c>
      <c r="AJ149">
        <f>Source!HL83</f>
        <v>0</v>
      </c>
      <c r="AN149">
        <f>IF(Source!BI83&lt;=1,J149,0)</f>
        <v>-365.58</v>
      </c>
      <c r="AO149">
        <f>IF(Source!BI83&lt;=1,J149,0)</f>
        <v>-365.58</v>
      </c>
      <c r="AS149">
        <f>IF(Source!BI83&lt;=1,AH149,0)</f>
        <v>0</v>
      </c>
      <c r="AT149">
        <f>IF(Source!BI83&lt;=1,AJ149,0)</f>
        <v>0</v>
      </c>
      <c r="AX149">
        <f>IF(Source!BI83=2,J149,0)</f>
        <v>0</v>
      </c>
      <c r="AY149">
        <f>IF(Source!BI83=2,J149,0)</f>
        <v>0</v>
      </c>
      <c r="BC149">
        <f>IF(Source!BI83=2,AH149,0)</f>
        <v>0</v>
      </c>
      <c r="BD149">
        <f>IF(Source!BI83=2,AJ149,0)</f>
        <v>0</v>
      </c>
    </row>
    <row r="150" spans="1:56" ht="42.75">
      <c r="A150" s="73" t="s">
        <v>157</v>
      </c>
      <c r="B150" s="73" t="str">
        <f>Source!F85</f>
        <v>04.3.01.09-0014</v>
      </c>
      <c r="C150" s="73" t="s">
        <v>567</v>
      </c>
      <c r="D150" s="56" t="str">
        <f>Source!H85</f>
        <v>м3</v>
      </c>
      <c r="E150" s="103">
        <f>SmtRes!AT58</f>
        <v>-0.31</v>
      </c>
      <c r="F150" s="51"/>
      <c r="G150" s="103">
        <f>Source!I85</f>
        <v>-0.53723</v>
      </c>
      <c r="H150" s="49">
        <f>Source!AL85+Source!AO85+Source!AM85</f>
        <v>519.8</v>
      </c>
      <c r="I150" s="57"/>
      <c r="J150" s="49">
        <f>ROUND(Source!AC85*Source!I85,2)+ROUND((((Source!ET85)-(Source!EU85))+Source!AE85)*Source!I85,2)+ROUND(Source!AF85*Source!I85,2)</f>
        <v>-279.25</v>
      </c>
      <c r="K150" s="57"/>
      <c r="L150" s="49"/>
      <c r="AF150" s="47">
        <f t="shared" si="0"/>
        <v>-279.25</v>
      </c>
      <c r="AG150">
        <f>Source!X85</f>
        <v>0</v>
      </c>
      <c r="AH150">
        <f>Source!HK85</f>
        <v>0</v>
      </c>
      <c r="AI150">
        <f>Source!Y85</f>
        <v>0</v>
      </c>
      <c r="AJ150">
        <f>Source!HL85</f>
        <v>0</v>
      </c>
      <c r="AN150">
        <f>IF(Source!BI85&lt;=1,J150,0)</f>
        <v>-279.25</v>
      </c>
      <c r="AO150">
        <f>IF(Source!BI85&lt;=1,J150,0)</f>
        <v>-279.25</v>
      </c>
      <c r="AS150">
        <f>IF(Source!BI85&lt;=1,AH150,0)</f>
        <v>0</v>
      </c>
      <c r="AT150">
        <f>IF(Source!BI85&lt;=1,AJ150,0)</f>
        <v>0</v>
      </c>
      <c r="AX150">
        <f>IF(Source!BI85=2,J150,0)</f>
        <v>0</v>
      </c>
      <c r="AY150">
        <f>IF(Source!BI85=2,J150,0)</f>
        <v>0</v>
      </c>
      <c r="BC150">
        <f>IF(Source!BI85=2,AH150,0)</f>
        <v>0</v>
      </c>
      <c r="BD150">
        <f>IF(Source!BI85=2,AJ150,0)</f>
        <v>0</v>
      </c>
    </row>
    <row r="151" spans="1:56" ht="28.5">
      <c r="A151" s="73" t="s">
        <v>162</v>
      </c>
      <c r="B151" s="73" t="str">
        <f>Source!F87</f>
        <v>12.1.02.06-0022</v>
      </c>
      <c r="C151" s="73" t="s">
        <v>568</v>
      </c>
      <c r="D151" s="56" t="str">
        <f>Source!H87</f>
        <v>м2</v>
      </c>
      <c r="E151" s="103">
        <f>SmtRes!AT59</f>
        <v>-112</v>
      </c>
      <c r="F151" s="51"/>
      <c r="G151" s="103">
        <f>Source!I87</f>
        <v>-194.096</v>
      </c>
      <c r="H151" s="49">
        <f>Source!AL87+Source!AO87+Source!AM87</f>
        <v>6.2</v>
      </c>
      <c r="I151" s="57"/>
      <c r="J151" s="49">
        <f>ROUND(Source!AC87*Source!I87,2)+ROUND((((Source!ET87)-(Source!EU87))+Source!AE87)*Source!I87,2)+ROUND(Source!AF87*Source!I87,2)</f>
        <v>-1203.4</v>
      </c>
      <c r="K151" s="57"/>
      <c r="L151" s="49"/>
      <c r="AF151" s="47">
        <f t="shared" si="0"/>
        <v>-1203.4</v>
      </c>
      <c r="AG151">
        <f>Source!X87</f>
        <v>0</v>
      </c>
      <c r="AH151">
        <f>Source!HK87</f>
        <v>0</v>
      </c>
      <c r="AI151">
        <f>Source!Y87</f>
        <v>0</v>
      </c>
      <c r="AJ151">
        <f>Source!HL87</f>
        <v>0</v>
      </c>
      <c r="AN151">
        <f>IF(Source!BI87&lt;=1,J151,0)</f>
        <v>-1203.4</v>
      </c>
      <c r="AO151">
        <f>IF(Source!BI87&lt;=1,J151,0)</f>
        <v>-1203.4</v>
      </c>
      <c r="AS151">
        <f>IF(Source!BI87&lt;=1,AH151,0)</f>
        <v>0</v>
      </c>
      <c r="AT151">
        <f>IF(Source!BI87&lt;=1,AJ151,0)</f>
        <v>0</v>
      </c>
      <c r="AX151">
        <f>IF(Source!BI87=2,J151,0)</f>
        <v>0</v>
      </c>
      <c r="AY151">
        <f>IF(Source!BI87=2,J151,0)</f>
        <v>0</v>
      </c>
      <c r="BC151">
        <f>IF(Source!BI87=2,AH151,0)</f>
        <v>0</v>
      </c>
      <c r="BD151">
        <f>IF(Source!BI87=2,AJ151,0)</f>
        <v>0</v>
      </c>
    </row>
    <row r="152" spans="1:56" ht="28.5">
      <c r="A152" s="73" t="s">
        <v>167</v>
      </c>
      <c r="B152" s="73" t="str">
        <f>Source!F89</f>
        <v>14.2.06.02-0001</v>
      </c>
      <c r="C152" s="73" t="s">
        <v>569</v>
      </c>
      <c r="D152" s="56" t="str">
        <f>Source!H89</f>
        <v>т</v>
      </c>
      <c r="E152" s="103">
        <f>SmtRes!AT60</f>
        <v>-0.006</v>
      </c>
      <c r="F152" s="51"/>
      <c r="G152" s="103">
        <f>Source!I89</f>
        <v>-0.010398</v>
      </c>
      <c r="H152" s="49">
        <f>Source!AL89+Source!AO89+Source!AM89</f>
        <v>49244</v>
      </c>
      <c r="I152" s="57"/>
      <c r="J152" s="49">
        <f>ROUND(Source!AC89*Source!I89,2)+ROUND((((Source!ET89)-(Source!EU89))+Source!AE89)*Source!I89,2)+ROUND(Source!AF89*Source!I89,2)</f>
        <v>-512.04</v>
      </c>
      <c r="K152" s="57"/>
      <c r="L152" s="49"/>
      <c r="AF152" s="47">
        <f t="shared" si="0"/>
        <v>-512.04</v>
      </c>
      <c r="AG152">
        <f>Source!X89</f>
        <v>0</v>
      </c>
      <c r="AH152">
        <f>Source!HK89</f>
        <v>0</v>
      </c>
      <c r="AI152">
        <f>Source!Y89</f>
        <v>0</v>
      </c>
      <c r="AJ152">
        <f>Source!HL89</f>
        <v>0</v>
      </c>
      <c r="AN152">
        <f>IF(Source!BI89&lt;=1,J152,0)</f>
        <v>-512.04</v>
      </c>
      <c r="AO152">
        <f>IF(Source!BI89&lt;=1,J152,0)</f>
        <v>-512.04</v>
      </c>
      <c r="AS152">
        <f>IF(Source!BI89&lt;=1,AH152,0)</f>
        <v>0</v>
      </c>
      <c r="AT152">
        <f>IF(Source!BI89&lt;=1,AJ152,0)</f>
        <v>0</v>
      </c>
      <c r="AX152">
        <f>IF(Source!BI89=2,J152,0)</f>
        <v>0</v>
      </c>
      <c r="AY152">
        <f>IF(Source!BI89=2,J152,0)</f>
        <v>0</v>
      </c>
      <c r="BC152">
        <f>IF(Source!BI89=2,AH152,0)</f>
        <v>0</v>
      </c>
      <c r="BD152">
        <f>IF(Source!BI89=2,AJ152,0)</f>
        <v>0</v>
      </c>
    </row>
    <row r="153" spans="1:56" ht="28.5">
      <c r="A153" s="73" t="s">
        <v>171</v>
      </c>
      <c r="B153" s="73" t="str">
        <f>Source!F91</f>
        <v>14.4.03.03-0104</v>
      </c>
      <c r="C153" s="73" t="s">
        <v>570</v>
      </c>
      <c r="D153" s="56" t="str">
        <f>Source!H91</f>
        <v>т</v>
      </c>
      <c r="E153" s="51">
        <f>SmtRes!AT61</f>
        <v>-0.05</v>
      </c>
      <c r="F153" s="51"/>
      <c r="G153" s="103">
        <f>Source!I91</f>
        <v>-0.08665</v>
      </c>
      <c r="H153" s="49">
        <f>Source!AL91+Source!AO91+Source!AM91</f>
        <v>9073.9</v>
      </c>
      <c r="I153" s="57"/>
      <c r="J153" s="49">
        <f>ROUND(Source!AC91*Source!I91,2)+ROUND((((Source!ET91)-(Source!EU91))+Source!AE91)*Source!I91,2)+ROUND(Source!AF91*Source!I91,2)</f>
        <v>-786.25</v>
      </c>
      <c r="K153" s="57"/>
      <c r="L153" s="49"/>
      <c r="AF153" s="47">
        <f t="shared" si="0"/>
        <v>-786.25</v>
      </c>
      <c r="AG153">
        <f>Source!X91</f>
        <v>0</v>
      </c>
      <c r="AH153">
        <f>Source!HK91</f>
        <v>0</v>
      </c>
      <c r="AI153">
        <f>Source!Y91</f>
        <v>0</v>
      </c>
      <c r="AJ153">
        <f>Source!HL91</f>
        <v>0</v>
      </c>
      <c r="AN153">
        <f>IF(Source!BI91&lt;=1,J153,0)</f>
        <v>-786.25</v>
      </c>
      <c r="AO153">
        <f>IF(Source!BI91&lt;=1,J153,0)</f>
        <v>-786.25</v>
      </c>
      <c r="AS153">
        <f>IF(Source!BI91&lt;=1,AH153,0)</f>
        <v>0</v>
      </c>
      <c r="AT153">
        <f>IF(Source!BI91&lt;=1,AJ153,0)</f>
        <v>0</v>
      </c>
      <c r="AX153">
        <f>IF(Source!BI91=2,J153,0)</f>
        <v>0</v>
      </c>
      <c r="AY153">
        <f>IF(Source!BI91=2,J153,0)</f>
        <v>0</v>
      </c>
      <c r="BC153">
        <f>IF(Source!BI91=2,AH153,0)</f>
        <v>0</v>
      </c>
      <c r="BD153">
        <f>IF(Source!BI91=2,AJ153,0)</f>
        <v>0</v>
      </c>
    </row>
    <row r="154" spans="1:56" ht="28.5">
      <c r="A154" s="73" t="s">
        <v>175</v>
      </c>
      <c r="B154" s="73" t="str">
        <f>Source!F93</f>
        <v>14.5.09.01-0001</v>
      </c>
      <c r="C154" s="73" t="s">
        <v>571</v>
      </c>
      <c r="D154" s="56" t="str">
        <f>Source!H93</f>
        <v>т</v>
      </c>
      <c r="E154" s="102">
        <f>SmtRes!AT62</f>
        <v>-0.0011</v>
      </c>
      <c r="F154" s="51"/>
      <c r="G154" s="102">
        <f>Source!I93</f>
        <v>-0.0019059999999999997</v>
      </c>
      <c r="H154" s="49">
        <f>Source!AL93+Source!AO93+Source!AM93</f>
        <v>7716.7</v>
      </c>
      <c r="I154" s="57"/>
      <c r="J154" s="49">
        <f>ROUND(Source!AC93*Source!I93,2)+ROUND((((Source!ET93)-(Source!EU93))+Source!AE93)*Source!I93,2)+ROUND(Source!AF93*Source!I93,2)</f>
        <v>-14.71</v>
      </c>
      <c r="K154" s="57"/>
      <c r="L154" s="49"/>
      <c r="AF154" s="47">
        <f t="shared" si="0"/>
        <v>-14.71</v>
      </c>
      <c r="AG154">
        <f>Source!X93</f>
        <v>0</v>
      </c>
      <c r="AH154">
        <f>Source!HK93</f>
        <v>0</v>
      </c>
      <c r="AI154">
        <f>Source!Y93</f>
        <v>0</v>
      </c>
      <c r="AJ154">
        <f>Source!HL93</f>
        <v>0</v>
      </c>
      <c r="AN154">
        <f>IF(Source!BI93&lt;=1,J154,0)</f>
        <v>-14.71</v>
      </c>
      <c r="AO154">
        <f>IF(Source!BI93&lt;=1,J154,0)</f>
        <v>-14.71</v>
      </c>
      <c r="AS154">
        <f>IF(Source!BI93&lt;=1,AH154,0)</f>
        <v>0</v>
      </c>
      <c r="AT154">
        <f>IF(Source!BI93&lt;=1,AJ154,0)</f>
        <v>0</v>
      </c>
      <c r="AX154">
        <f>IF(Source!BI93=2,J154,0)</f>
        <v>0</v>
      </c>
      <c r="AY154">
        <f>IF(Source!BI93=2,J154,0)</f>
        <v>0</v>
      </c>
      <c r="BC154">
        <f>IF(Source!BI93=2,AH154,0)</f>
        <v>0</v>
      </c>
      <c r="BD154">
        <f>IF(Source!BI93=2,AJ154,0)</f>
        <v>0</v>
      </c>
    </row>
    <row r="155" spans="1:12" ht="14.25">
      <c r="A155" s="73"/>
      <c r="B155" s="73"/>
      <c r="C155" s="73" t="s">
        <v>529</v>
      </c>
      <c r="D155" s="56"/>
      <c r="E155" s="51"/>
      <c r="F155" s="51"/>
      <c r="G155" s="51"/>
      <c r="H155" s="49"/>
      <c r="I155" s="57"/>
      <c r="J155" s="49">
        <f>SUM(Q138:Q158)+SUM(V138:V158)+SUM(X138:X158)+SUM(Y138:Y158)</f>
        <v>2922.15</v>
      </c>
      <c r="K155" s="57"/>
      <c r="L155" s="49">
        <f>SUM(U138:U158)+SUM(W138:W158)+SUM(Z138:Z158)+SUM(AA138:AA158)</f>
        <v>106570.81000000001</v>
      </c>
    </row>
    <row r="156" spans="1:12" ht="28.5">
      <c r="A156" s="73"/>
      <c r="B156" s="73" t="s">
        <v>572</v>
      </c>
      <c r="C156" s="73" t="s">
        <v>530</v>
      </c>
      <c r="D156" s="56" t="s">
        <v>531</v>
      </c>
      <c r="E156" s="51">
        <f>Source!BZ79</f>
        <v>112</v>
      </c>
      <c r="F156" s="51">
        <f>ROUND(0.9,7)</f>
        <v>0.9</v>
      </c>
      <c r="G156" s="51">
        <f>Source!AT79</f>
        <v>100.8</v>
      </c>
      <c r="H156" s="49"/>
      <c r="I156" s="57"/>
      <c r="J156" s="49">
        <f>SUM(AG138:AG158)</f>
        <v>2945.53</v>
      </c>
      <c r="K156" s="57"/>
      <c r="L156" s="49">
        <f>SUM(AH138:AH158)</f>
        <v>107423.38</v>
      </c>
    </row>
    <row r="157" spans="1:12" ht="28.5">
      <c r="A157" s="75"/>
      <c r="B157" s="75" t="s">
        <v>573</v>
      </c>
      <c r="C157" s="75" t="s">
        <v>532</v>
      </c>
      <c r="D157" s="59" t="s">
        <v>531</v>
      </c>
      <c r="E157" s="60">
        <f>Source!CA79</f>
        <v>65</v>
      </c>
      <c r="F157" s="60">
        <f>ROUND(0.85,7)</f>
        <v>0.85</v>
      </c>
      <c r="G157" s="60">
        <f>Source!AU79</f>
        <v>55.25</v>
      </c>
      <c r="H157" s="61"/>
      <c r="I157" s="62"/>
      <c r="J157" s="61">
        <f>SUM(AI138:AI158)</f>
        <v>1614.49</v>
      </c>
      <c r="K157" s="62"/>
      <c r="L157" s="61">
        <f>SUM(AJ138:AJ158)</f>
        <v>58880.37</v>
      </c>
    </row>
    <row r="158" spans="3:53" ht="15">
      <c r="C158" s="108" t="s">
        <v>533</v>
      </c>
      <c r="D158" s="108"/>
      <c r="E158" s="108"/>
      <c r="F158" s="108"/>
      <c r="G158" s="108"/>
      <c r="H158" s="108"/>
      <c r="I158" s="108">
        <f>J141+J142+J144+J156+J157+SUM(J148:J154)</f>
        <v>9917.74</v>
      </c>
      <c r="J158" s="108"/>
      <c r="O158" s="47">
        <f>I158</f>
        <v>9917.74</v>
      </c>
      <c r="P158">
        <f>K158</f>
        <v>0</v>
      </c>
      <c r="Q158" s="47">
        <f>J141</f>
        <v>2808.03</v>
      </c>
      <c r="R158" s="47">
        <f>J141</f>
        <v>2808.03</v>
      </c>
      <c r="U158" s="47">
        <f>L141</f>
        <v>102408.85</v>
      </c>
      <c r="X158" s="47">
        <f>J143</f>
        <v>114.12</v>
      </c>
      <c r="Z158" s="47">
        <f>L143</f>
        <v>4161.96</v>
      </c>
      <c r="AB158" s="47">
        <f>J142</f>
        <v>171.63</v>
      </c>
      <c r="AD158" s="47">
        <f>L142</f>
        <v>0</v>
      </c>
      <c r="AF158" s="47">
        <f>J144</f>
        <v>5940.34</v>
      </c>
      <c r="AN158">
        <f>IF(Source!BI79&lt;=1,J141+J142+J144+J156+J157,0)</f>
        <v>13480.02</v>
      </c>
      <c r="AO158">
        <f>IF(Source!BI79&lt;=1,J144,0)</f>
        <v>5940.34</v>
      </c>
      <c r="AP158">
        <f>IF(Source!BI79&lt;=1,J142,0)</f>
        <v>171.63</v>
      </c>
      <c r="AQ158">
        <f>IF(Source!BI79&lt;=1,J141,0)</f>
        <v>2808.03</v>
      </c>
      <c r="AX158">
        <f>IF(Source!BI79=2,J141+J142+J144+J156+J157,0)</f>
        <v>0</v>
      </c>
      <c r="AY158">
        <f>IF(Source!BI79=2,J144,0)</f>
        <v>0</v>
      </c>
      <c r="AZ158">
        <f>IF(Source!BI79=2,J142,0)</f>
        <v>0</v>
      </c>
      <c r="BA158">
        <f>IF(Source!BI79=2,J141,0)</f>
        <v>0</v>
      </c>
    </row>
    <row r="159" spans="1:56" ht="116.25">
      <c r="A159" s="73">
        <v>8</v>
      </c>
      <c r="B159" s="73" t="str">
        <f>Source!F95</f>
        <v>06-01-001-01</v>
      </c>
      <c r="C159" s="73" t="s">
        <v>574</v>
      </c>
      <c r="D159" s="56" t="str">
        <f>Source!H95</f>
        <v>100 м3</v>
      </c>
      <c r="E159" s="51">
        <f>Source!K95</f>
        <v>0.138</v>
      </c>
      <c r="F159" s="51"/>
      <c r="G159" s="51">
        <f>Source!I95</f>
        <v>0.138</v>
      </c>
      <c r="H159" s="49"/>
      <c r="I159" s="57"/>
      <c r="J159" s="49"/>
      <c r="K159" s="57"/>
      <c r="L159" s="49"/>
      <c r="AG159">
        <f>Source!X95</f>
        <v>192.11</v>
      </c>
      <c r="AH159">
        <f>Source!HK95</f>
        <v>7006.25</v>
      </c>
      <c r="AI159">
        <f>Source!Y95</f>
        <v>103.17</v>
      </c>
      <c r="AJ159">
        <f>Source!HL95</f>
        <v>3762.62</v>
      </c>
      <c r="AS159">
        <f>IF(Source!BI95&lt;=1,AH159,0)</f>
        <v>7006.25</v>
      </c>
      <c r="AT159">
        <f>IF(Source!BI95&lt;=1,AJ159,0)</f>
        <v>3762.62</v>
      </c>
      <c r="BC159">
        <f>IF(Source!BI95=2,AH159,0)</f>
        <v>0</v>
      </c>
      <c r="BD159">
        <f>IF(Source!BI95=2,AJ159,0)</f>
        <v>0</v>
      </c>
    </row>
    <row r="160" spans="2:3" ht="165.75">
      <c r="B160" s="48" t="str">
        <f>Source!EO95</f>
        <v>Поправка: М-ка 421/пр 04.08.20 п.58 п.п. б)</v>
      </c>
      <c r="C160" s="48" t="str">
        <f>Source!CN95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61" ht="12.75">
      <c r="C161" s="45" t="str">
        <f>"Объем: "&amp;Source!K95&amp;"=13,8/"&amp;"100"</f>
        <v>Объем: 0,138=13,8/100</v>
      </c>
    </row>
    <row r="162" spans="1:12" ht="14.25">
      <c r="A162" s="73"/>
      <c r="B162" s="74">
        <v>1</v>
      </c>
      <c r="C162" s="73" t="s">
        <v>522</v>
      </c>
      <c r="D162" s="56"/>
      <c r="E162" s="51"/>
      <c r="F162" s="51"/>
      <c r="G162" s="51"/>
      <c r="H162" s="49">
        <f>Source!AO95</f>
        <v>1053</v>
      </c>
      <c r="I162" s="57">
        <f>ROUND(1.15,7)</f>
        <v>1.15</v>
      </c>
      <c r="J162" s="49">
        <f>ROUND(Source!AF95*Source!I95,2)</f>
        <v>167.11</v>
      </c>
      <c r="K162" s="57">
        <f>IF(Source!BA95&lt;&gt;0,Source!BA95,1)</f>
        <v>36.47</v>
      </c>
      <c r="L162" s="49">
        <f>Source!HJ95</f>
        <v>6094.5</v>
      </c>
    </row>
    <row r="163" spans="1:12" ht="14.25">
      <c r="A163" s="73"/>
      <c r="B163" s="74">
        <v>3</v>
      </c>
      <c r="C163" s="73" t="s">
        <v>523</v>
      </c>
      <c r="D163" s="56"/>
      <c r="E163" s="51"/>
      <c r="F163" s="51"/>
      <c r="G163" s="51"/>
      <c r="H163" s="49">
        <f>Source!AM95</f>
        <v>1566.06</v>
      </c>
      <c r="I163" s="57">
        <f>ROUND(1.25,7)</f>
        <v>1.25</v>
      </c>
      <c r="J163" s="49">
        <f>ROUND(((((Source!ET95*ROUND(1.25,7)))-((Source!EU95*ROUND(1.25,7))))+Source!AE95)*Source!I95,2)</f>
        <v>270.15</v>
      </c>
      <c r="K163" s="57"/>
      <c r="L163" s="49"/>
    </row>
    <row r="164" spans="1:12" ht="14.25">
      <c r="A164" s="73"/>
      <c r="B164" s="74">
        <v>2</v>
      </c>
      <c r="C164" s="73" t="s">
        <v>524</v>
      </c>
      <c r="D164" s="56"/>
      <c r="E164" s="51"/>
      <c r="F164" s="51"/>
      <c r="G164" s="51"/>
      <c r="H164" s="49">
        <f>Source!AN95</f>
        <v>244.39</v>
      </c>
      <c r="I164" s="57">
        <f>ROUND(1.25,7)</f>
        <v>1.25</v>
      </c>
      <c r="J164" s="58">
        <f>ROUND(Source!AE95*Source!I95,2)</f>
        <v>42.16</v>
      </c>
      <c r="K164" s="57">
        <f>IF(Source!BS95&lt;&gt;0,Source!BS95,1)</f>
        <v>36.47</v>
      </c>
      <c r="L164" s="58">
        <f>Source!HI95</f>
        <v>1537.58</v>
      </c>
    </row>
    <row r="165" spans="1:12" ht="14.25">
      <c r="A165" s="73"/>
      <c r="B165" s="74">
        <v>4</v>
      </c>
      <c r="C165" s="73" t="s">
        <v>564</v>
      </c>
      <c r="D165" s="56"/>
      <c r="E165" s="51"/>
      <c r="F165" s="51"/>
      <c r="G165" s="51"/>
      <c r="H165" s="49">
        <f>Source!AL95</f>
        <v>909.27</v>
      </c>
      <c r="I165" s="57"/>
      <c r="J165" s="49">
        <f>ROUND(Source!AC95*Source!I95,2)</f>
        <v>125.48</v>
      </c>
      <c r="K165" s="57"/>
      <c r="L165" s="49"/>
    </row>
    <row r="166" spans="1:12" ht="14.25">
      <c r="A166" s="73"/>
      <c r="B166" s="73"/>
      <c r="C166" s="73" t="s">
        <v>525</v>
      </c>
      <c r="D166" s="56" t="s">
        <v>526</v>
      </c>
      <c r="E166" s="51">
        <f>Source!AQ95</f>
        <v>135</v>
      </c>
      <c r="F166" s="51">
        <f>ROUND(1.15,7)</f>
        <v>1.15</v>
      </c>
      <c r="G166" s="103">
        <f>ROUND(Source!U95,7)</f>
        <v>21.4245</v>
      </c>
      <c r="H166" s="49"/>
      <c r="I166" s="57"/>
      <c r="J166" s="49"/>
      <c r="K166" s="57"/>
      <c r="L166" s="49"/>
    </row>
    <row r="167" spans="1:12" ht="14.25">
      <c r="A167" s="73"/>
      <c r="B167" s="73"/>
      <c r="C167" s="75" t="s">
        <v>527</v>
      </c>
      <c r="D167" s="59" t="s">
        <v>526</v>
      </c>
      <c r="E167" s="60">
        <f>Source!AR95</f>
        <v>18.12</v>
      </c>
      <c r="F167" s="60">
        <f>ROUND(1.25,7)</f>
        <v>1.25</v>
      </c>
      <c r="G167" s="104">
        <f>ROUND(Source!V95,7)</f>
        <v>3.1257</v>
      </c>
      <c r="H167" s="61"/>
      <c r="I167" s="62"/>
      <c r="J167" s="61"/>
      <c r="K167" s="62"/>
      <c r="L167" s="61"/>
    </row>
    <row r="168" spans="1:12" ht="14.25">
      <c r="A168" s="73"/>
      <c r="B168" s="73"/>
      <c r="C168" s="73" t="s">
        <v>528</v>
      </c>
      <c r="D168" s="56"/>
      <c r="E168" s="51"/>
      <c r="F168" s="51"/>
      <c r="G168" s="51"/>
      <c r="H168" s="49">
        <f>H162+H163+H165</f>
        <v>3528.33</v>
      </c>
      <c r="I168" s="57"/>
      <c r="J168" s="49">
        <f>J162+J163+J165</f>
        <v>562.74</v>
      </c>
      <c r="K168" s="57"/>
      <c r="L168" s="49"/>
    </row>
    <row r="169" spans="1:56" ht="28.5">
      <c r="A169" s="73" t="s">
        <v>187</v>
      </c>
      <c r="B169" s="73" t="str">
        <f>Source!F97</f>
        <v>04.1.02.05-0009</v>
      </c>
      <c r="C169" s="73" t="str">
        <f>Source!G97</f>
        <v>Смеси бетонные тяжелого бетона (БСТ), класс В25 (М350)</v>
      </c>
      <c r="D169" s="56" t="str">
        <f>Source!H97</f>
        <v>м3</v>
      </c>
      <c r="E169" s="103">
        <f>SmtRes!AT80</f>
        <v>102.011494</v>
      </c>
      <c r="F169" s="51"/>
      <c r="G169" s="103">
        <f>Source!I97</f>
        <v>14.077586000000002</v>
      </c>
      <c r="H169" s="49">
        <f>Source!AL97+Source!AO97+Source!AM97</f>
        <v>725.69</v>
      </c>
      <c r="I169" s="57"/>
      <c r="J169" s="49">
        <f>ROUND(Source!AC97*Source!I97,2)+ROUND((((Source!ET97)-(Source!EU97))+Source!AE97)*Source!I97,2)+ROUND(Source!AF97*Source!I97,2)</f>
        <v>10215.96</v>
      </c>
      <c r="K169" s="57"/>
      <c r="L169" s="49"/>
      <c r="AF169" s="47">
        <f>J169</f>
        <v>10215.96</v>
      </c>
      <c r="AG169">
        <f>Source!X97</f>
        <v>0</v>
      </c>
      <c r="AH169">
        <f>Source!HK97</f>
        <v>0</v>
      </c>
      <c r="AI169">
        <f>Source!Y97</f>
        <v>0</v>
      </c>
      <c r="AJ169">
        <f>Source!HL97</f>
        <v>0</v>
      </c>
      <c r="AN169">
        <f>IF(Source!BI97&lt;=1,J169,0)</f>
        <v>10215.96</v>
      </c>
      <c r="AO169">
        <f>IF(Source!BI97&lt;=1,J169,0)</f>
        <v>10215.96</v>
      </c>
      <c r="AS169">
        <f>IF(Source!BI97&lt;=1,AH169,0)</f>
        <v>0</v>
      </c>
      <c r="AT169">
        <f>IF(Source!BI97&lt;=1,AJ169,0)</f>
        <v>0</v>
      </c>
      <c r="AX169">
        <f>IF(Source!BI97=2,J169,0)</f>
        <v>0</v>
      </c>
      <c r="AY169">
        <f>IF(Source!BI97=2,J169,0)</f>
        <v>0</v>
      </c>
      <c r="BC169">
        <f>IF(Source!BI97=2,AH169,0)</f>
        <v>0</v>
      </c>
      <c r="BD169">
        <f>IF(Source!BI97=2,AJ169,0)</f>
        <v>0</v>
      </c>
    </row>
    <row r="170" spans="1:56" ht="14.25">
      <c r="A170" s="73" t="s">
        <v>191</v>
      </c>
      <c r="B170" s="73" t="str">
        <f>Source!F99</f>
        <v>01.7.08.05-0001</v>
      </c>
      <c r="C170" s="73" t="str">
        <f>Source!G99</f>
        <v>Добавка "Суперпластификатор С-3"</v>
      </c>
      <c r="D170" s="56" t="str">
        <f>Source!H99</f>
        <v>кг</v>
      </c>
      <c r="E170" s="103">
        <f>SmtRes!AT79</f>
        <v>173.913043</v>
      </c>
      <c r="F170" s="51"/>
      <c r="G170" s="51">
        <f>Source!I99</f>
        <v>24</v>
      </c>
      <c r="H170" s="49">
        <f>Source!AL99+Source!AO99+Source!AM99</f>
        <v>18.63</v>
      </c>
      <c r="I170" s="57"/>
      <c r="J170" s="49">
        <f>ROUND(Source!AC99*Source!I99,2)+ROUND((((Source!ET99)-(Source!EU99))+Source!AE99)*Source!I99,2)+ROUND(Source!AF99*Source!I99,2)</f>
        <v>447.12</v>
      </c>
      <c r="K170" s="57"/>
      <c r="L170" s="49"/>
      <c r="AF170" s="47">
        <f>J170</f>
        <v>447.12</v>
      </c>
      <c r="AG170">
        <f>Source!X99</f>
        <v>0</v>
      </c>
      <c r="AH170">
        <f>Source!HK99</f>
        <v>0</v>
      </c>
      <c r="AI170">
        <f>Source!Y99</f>
        <v>0</v>
      </c>
      <c r="AJ170">
        <f>Source!HL99</f>
        <v>0</v>
      </c>
      <c r="AN170">
        <f>IF(Source!BI99&lt;=1,J170,0)</f>
        <v>447.12</v>
      </c>
      <c r="AO170">
        <f>IF(Source!BI99&lt;=1,J170,0)</f>
        <v>447.12</v>
      </c>
      <c r="AS170">
        <f>IF(Source!BI99&lt;=1,AH170,0)</f>
        <v>0</v>
      </c>
      <c r="AT170">
        <f>IF(Source!BI99&lt;=1,AJ170,0)</f>
        <v>0</v>
      </c>
      <c r="AX170">
        <f>IF(Source!BI99=2,J170,0)</f>
        <v>0</v>
      </c>
      <c r="AY170">
        <f>IF(Source!BI99=2,J170,0)</f>
        <v>0</v>
      </c>
      <c r="BC170">
        <f>IF(Source!BI99=2,AH170,0)</f>
        <v>0</v>
      </c>
      <c r="BD170">
        <f>IF(Source!BI99=2,AJ170,0)</f>
        <v>0</v>
      </c>
    </row>
    <row r="171" spans="1:12" ht="14.25">
      <c r="A171" s="73"/>
      <c r="B171" s="73"/>
      <c r="C171" s="73" t="s">
        <v>529</v>
      </c>
      <c r="D171" s="56"/>
      <c r="E171" s="51"/>
      <c r="F171" s="51"/>
      <c r="G171" s="51"/>
      <c r="H171" s="49"/>
      <c r="I171" s="57"/>
      <c r="J171" s="49">
        <f>SUM(Q159:Q174)+SUM(V159:V174)+SUM(X159:X174)+SUM(Y159:Y174)</f>
        <v>209.27</v>
      </c>
      <c r="K171" s="57"/>
      <c r="L171" s="49">
        <f>SUM(U159:U174)+SUM(W159:W174)+SUM(Z159:Z174)+SUM(AA159:AA174)</f>
        <v>7632.08</v>
      </c>
    </row>
    <row r="172" spans="1:12" ht="42.75">
      <c r="A172" s="73"/>
      <c r="B172" s="73" t="s">
        <v>575</v>
      </c>
      <c r="C172" s="73" t="s">
        <v>576</v>
      </c>
      <c r="D172" s="56" t="s">
        <v>531</v>
      </c>
      <c r="E172" s="51">
        <f>Source!BZ95</f>
        <v>102</v>
      </c>
      <c r="F172" s="51">
        <f>ROUND(0.9,7)</f>
        <v>0.9</v>
      </c>
      <c r="G172" s="51">
        <f>Source!AT95</f>
        <v>91.8</v>
      </c>
      <c r="H172" s="49"/>
      <c r="I172" s="57"/>
      <c r="J172" s="49">
        <f>SUM(AG159:AG174)</f>
        <v>192.11</v>
      </c>
      <c r="K172" s="57"/>
      <c r="L172" s="49">
        <f>SUM(AH159:AH174)</f>
        <v>7006.25</v>
      </c>
    </row>
    <row r="173" spans="1:12" ht="42.75">
      <c r="A173" s="75"/>
      <c r="B173" s="75" t="s">
        <v>577</v>
      </c>
      <c r="C173" s="75" t="s">
        <v>578</v>
      </c>
      <c r="D173" s="59" t="s">
        <v>531</v>
      </c>
      <c r="E173" s="60">
        <f>Source!CA95</f>
        <v>58</v>
      </c>
      <c r="F173" s="60">
        <f>ROUND(0.85,7)</f>
        <v>0.85</v>
      </c>
      <c r="G173" s="60">
        <f>Source!AU95</f>
        <v>49.3</v>
      </c>
      <c r="H173" s="61"/>
      <c r="I173" s="62"/>
      <c r="J173" s="61">
        <f>SUM(AI159:AI174)</f>
        <v>103.17</v>
      </c>
      <c r="K173" s="62"/>
      <c r="L173" s="61">
        <f>SUM(AJ159:AJ174)</f>
        <v>3762.62</v>
      </c>
    </row>
    <row r="174" spans="3:53" ht="15">
      <c r="C174" s="108" t="s">
        <v>533</v>
      </c>
      <c r="D174" s="108"/>
      <c r="E174" s="108"/>
      <c r="F174" s="108"/>
      <c r="G174" s="108"/>
      <c r="H174" s="108"/>
      <c r="I174" s="108">
        <f>J162+J163+J165+J172+J173+SUM(J169:J170)</f>
        <v>11521.1</v>
      </c>
      <c r="J174" s="108"/>
      <c r="O174" s="47">
        <f>I174</f>
        <v>11521.1</v>
      </c>
      <c r="P174">
        <f>K174</f>
        <v>0</v>
      </c>
      <c r="Q174" s="47">
        <f>J162</f>
        <v>167.11</v>
      </c>
      <c r="R174" s="47">
        <f>J162</f>
        <v>167.11</v>
      </c>
      <c r="U174" s="47">
        <f>L162</f>
        <v>6094.5</v>
      </c>
      <c r="X174" s="47">
        <f>J164</f>
        <v>42.16</v>
      </c>
      <c r="Z174" s="47">
        <f>L164</f>
        <v>1537.58</v>
      </c>
      <c r="AB174" s="47">
        <f>J163</f>
        <v>270.15</v>
      </c>
      <c r="AD174" s="47">
        <f>L163</f>
        <v>0</v>
      </c>
      <c r="AF174" s="47">
        <f>J165</f>
        <v>125.48</v>
      </c>
      <c r="AN174">
        <f>IF(Source!BI95&lt;=1,J162+J163+J165+J172+J173,0)</f>
        <v>858.02</v>
      </c>
      <c r="AO174">
        <f>IF(Source!BI95&lt;=1,J165,0)</f>
        <v>125.48</v>
      </c>
      <c r="AP174">
        <f>IF(Source!BI95&lt;=1,J163,0)</f>
        <v>270.15</v>
      </c>
      <c r="AQ174">
        <f>IF(Source!BI95&lt;=1,J162,0)</f>
        <v>167.11</v>
      </c>
      <c r="AX174">
        <f>IF(Source!BI95=2,J162+J163+J165+J172+J173,0)</f>
        <v>0</v>
      </c>
      <c r="AY174">
        <f>IF(Source!BI95=2,J165,0)</f>
        <v>0</v>
      </c>
      <c r="AZ174">
        <f>IF(Source!BI95=2,J163,0)</f>
        <v>0</v>
      </c>
      <c r="BA174">
        <f>IF(Source!BI95=2,J162,0)</f>
        <v>0</v>
      </c>
    </row>
    <row r="175" spans="1:56" ht="157.5">
      <c r="A175" s="73">
        <v>9</v>
      </c>
      <c r="B175" s="73" t="str">
        <f>Source!F101</f>
        <v>27-06-009-01</v>
      </c>
      <c r="C175" s="73" t="s">
        <v>579</v>
      </c>
      <c r="D175" s="56" t="str">
        <f>Source!H101</f>
        <v>1000 м2</v>
      </c>
      <c r="E175" s="51">
        <f>Source!K101</f>
        <v>0.1733</v>
      </c>
      <c r="F175" s="51"/>
      <c r="G175" s="51">
        <f>Source!I101</f>
        <v>0.1733</v>
      </c>
      <c r="H175" s="49"/>
      <c r="I175" s="57"/>
      <c r="J175" s="49"/>
      <c r="K175" s="57"/>
      <c r="L175" s="49"/>
      <c r="AG175">
        <f>Source!X101</f>
        <v>55.66</v>
      </c>
      <c r="AH175">
        <f>Source!HK101</f>
        <v>2029.87</v>
      </c>
      <c r="AI175">
        <f>Source!Y101</f>
        <v>47.92</v>
      </c>
      <c r="AJ175">
        <f>Source!HL101</f>
        <v>1747.56</v>
      </c>
      <c r="AS175">
        <f>IF(Source!BI101&lt;=1,AH175,0)</f>
        <v>2029.87</v>
      </c>
      <c r="AT175">
        <f>IF(Source!BI101&lt;=1,AJ175,0)</f>
        <v>1747.56</v>
      </c>
      <c r="BC175">
        <f>IF(Source!BI101=2,AH175,0)</f>
        <v>0</v>
      </c>
      <c r="BD175">
        <f>IF(Source!BI101=2,AJ175,0)</f>
        <v>0</v>
      </c>
    </row>
    <row r="176" spans="2:3" ht="165.75">
      <c r="B176" s="48" t="str">
        <f>Source!EO101</f>
        <v>Поправка: М-ка 421/пр 04.08.20 п.58 п.п. б)</v>
      </c>
      <c r="C176" s="48" t="str">
        <f>Source!CN101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77" ht="12.75">
      <c r="C177" s="45" t="str">
        <f>"Объем: "&amp;Source!K101&amp;"=173,3/"&amp;"1000"</f>
        <v>Объем: 0,1733=173,3/1000</v>
      </c>
    </row>
    <row r="178" spans="1:12" ht="14.25">
      <c r="A178" s="73"/>
      <c r="B178" s="74">
        <v>1</v>
      </c>
      <c r="C178" s="73" t="s">
        <v>522</v>
      </c>
      <c r="D178" s="56"/>
      <c r="E178" s="51"/>
      <c r="F178" s="51"/>
      <c r="G178" s="51"/>
      <c r="H178" s="49">
        <f>Source!AO101</f>
        <v>103.4</v>
      </c>
      <c r="I178" s="57">
        <f>ROUND((1.15)*2,7)</f>
        <v>2.3</v>
      </c>
      <c r="J178" s="49">
        <f>ROUND(Source!AF101*Source!I101,2)</f>
        <v>41.21</v>
      </c>
      <c r="K178" s="57">
        <f>IF(Source!BA101&lt;&gt;0,Source!BA101,1)</f>
        <v>36.47</v>
      </c>
      <c r="L178" s="49">
        <f>Source!HJ101</f>
        <v>1502.93</v>
      </c>
    </row>
    <row r="179" spans="1:12" ht="14.25">
      <c r="A179" s="73"/>
      <c r="B179" s="74">
        <v>3</v>
      </c>
      <c r="C179" s="73" t="s">
        <v>523</v>
      </c>
      <c r="D179" s="56"/>
      <c r="E179" s="51"/>
      <c r="F179" s="51"/>
      <c r="G179" s="51"/>
      <c r="H179" s="49">
        <f>Source!AM101</f>
        <v>13.99</v>
      </c>
      <c r="I179" s="57">
        <f>ROUND((1.25)*2,7)</f>
        <v>2.5</v>
      </c>
      <c r="J179" s="49">
        <f>ROUND(((((Source!ET101*ROUND((1.25*2),7)))-((Source!EU101*ROUND((1.25*2),7))))+Source!AE101)*Source!I101,2)</f>
        <v>6.06</v>
      </c>
      <c r="K179" s="57"/>
      <c r="L179" s="49"/>
    </row>
    <row r="180" spans="1:12" ht="14.25">
      <c r="A180" s="73"/>
      <c r="B180" s="74">
        <v>2</v>
      </c>
      <c r="C180" s="73" t="s">
        <v>524</v>
      </c>
      <c r="D180" s="56"/>
      <c r="E180" s="51"/>
      <c r="F180" s="51"/>
      <c r="G180" s="51"/>
      <c r="H180" s="49">
        <f>Source!AN101</f>
        <v>1.99</v>
      </c>
      <c r="I180" s="57">
        <f>ROUND((1.25)*2,7)</f>
        <v>2.5</v>
      </c>
      <c r="J180" s="58">
        <f>ROUND(Source!AE101*Source!I101,2)</f>
        <v>0.86</v>
      </c>
      <c r="K180" s="57">
        <f>IF(Source!BS101&lt;&gt;0,Source!BS101,1)</f>
        <v>36.47</v>
      </c>
      <c r="L180" s="58">
        <f>Source!HI101</f>
        <v>31.36</v>
      </c>
    </row>
    <row r="181" spans="1:12" ht="14.25">
      <c r="A181" s="73"/>
      <c r="B181" s="73"/>
      <c r="C181" s="73" t="s">
        <v>525</v>
      </c>
      <c r="D181" s="56" t="s">
        <v>526</v>
      </c>
      <c r="E181" s="51">
        <f>Source!AQ101</f>
        <v>11.4</v>
      </c>
      <c r="F181" s="51">
        <f>ROUND((1.15)*2,7)</f>
        <v>2.3</v>
      </c>
      <c r="G181" s="103">
        <f>ROUND(Source!U101,7)</f>
        <v>4.543926</v>
      </c>
      <c r="H181" s="49"/>
      <c r="I181" s="57"/>
      <c r="J181" s="49"/>
      <c r="K181" s="57"/>
      <c r="L181" s="49"/>
    </row>
    <row r="182" spans="1:12" ht="14.25">
      <c r="A182" s="73"/>
      <c r="B182" s="73"/>
      <c r="C182" s="75" t="s">
        <v>527</v>
      </c>
      <c r="D182" s="59" t="s">
        <v>526</v>
      </c>
      <c r="E182" s="60">
        <f>Source!AR101</f>
        <v>0.16</v>
      </c>
      <c r="F182" s="60">
        <f>ROUND((1.25)*2,7)</f>
        <v>2.5</v>
      </c>
      <c r="G182" s="104">
        <f>ROUND(Source!V101,7)</f>
        <v>0.06932</v>
      </c>
      <c r="H182" s="61"/>
      <c r="I182" s="62"/>
      <c r="J182" s="61"/>
      <c r="K182" s="62"/>
      <c r="L182" s="61"/>
    </row>
    <row r="183" spans="1:12" ht="14.25">
      <c r="A183" s="73"/>
      <c r="B183" s="73"/>
      <c r="C183" s="73" t="s">
        <v>528</v>
      </c>
      <c r="D183" s="56"/>
      <c r="E183" s="51"/>
      <c r="F183" s="51"/>
      <c r="G183" s="51"/>
      <c r="H183" s="49">
        <f>H178+H179</f>
        <v>117.39</v>
      </c>
      <c r="I183" s="57"/>
      <c r="J183" s="49">
        <f>J178+J179</f>
        <v>47.27</v>
      </c>
      <c r="K183" s="57"/>
      <c r="L183" s="49"/>
    </row>
    <row r="184" spans="1:56" ht="42.75">
      <c r="A184" s="73" t="s">
        <v>204</v>
      </c>
      <c r="B184" s="73" t="str">
        <f>Source!F103</f>
        <v>08.4.02.05-0002</v>
      </c>
      <c r="C184" s="73" t="str">
        <f>Source!G103</f>
        <v>Сетка сварная с ячейкой 10 из арматурной стали класса А-I и А-II, диаметр 5 мм</v>
      </c>
      <c r="D184" s="56" t="str">
        <f>Source!H103</f>
        <v>т</v>
      </c>
      <c r="E184" s="103">
        <f>SmtRes!AT90</f>
        <v>6.206897</v>
      </c>
      <c r="F184" s="51"/>
      <c r="G184" s="103">
        <f>Source!I103</f>
        <v>1.075655</v>
      </c>
      <c r="H184" s="49">
        <f>Source!AL103+Source!AO103+Source!AM103</f>
        <v>8690</v>
      </c>
      <c r="I184" s="57"/>
      <c r="J184" s="49">
        <f>ROUND(Source!AC103*Source!I103,2)+ROUND((((Source!ET103)-(Source!EU103))+Source!AE103)*Source!I103,2)+ROUND(Source!AF103*Source!I103,2)</f>
        <v>9347.44</v>
      </c>
      <c r="K184" s="57"/>
      <c r="L184" s="49"/>
      <c r="AF184" s="47">
        <f>J184</f>
        <v>9347.44</v>
      </c>
      <c r="AG184">
        <f>Source!X103</f>
        <v>0</v>
      </c>
      <c r="AH184">
        <f>Source!HK103</f>
        <v>0</v>
      </c>
      <c r="AI184">
        <f>Source!Y103</f>
        <v>0</v>
      </c>
      <c r="AJ184">
        <f>Source!HL103</f>
        <v>0</v>
      </c>
      <c r="AN184">
        <f>IF(Source!BI103&lt;=1,J184,0)</f>
        <v>9347.44</v>
      </c>
      <c r="AO184">
        <f>IF(Source!BI103&lt;=1,J184,0)</f>
        <v>9347.44</v>
      </c>
      <c r="AS184">
        <f>IF(Source!BI103&lt;=1,AH184,0)</f>
        <v>0</v>
      </c>
      <c r="AT184">
        <f>IF(Source!BI103&lt;=1,AJ184,0)</f>
        <v>0</v>
      </c>
      <c r="AX184">
        <f>IF(Source!BI103=2,J184,0)</f>
        <v>0</v>
      </c>
      <c r="AY184">
        <f>IF(Source!BI103=2,J184,0)</f>
        <v>0</v>
      </c>
      <c r="BC184">
        <f>IF(Source!BI103=2,AH184,0)</f>
        <v>0</v>
      </c>
      <c r="BD184">
        <f>IF(Source!BI103=2,AJ184,0)</f>
        <v>0</v>
      </c>
    </row>
    <row r="185" spans="1:12" ht="14.25">
      <c r="A185" s="73"/>
      <c r="B185" s="73"/>
      <c r="C185" s="73" t="s">
        <v>529</v>
      </c>
      <c r="D185" s="56"/>
      <c r="E185" s="51"/>
      <c r="F185" s="51"/>
      <c r="G185" s="51"/>
      <c r="H185" s="49"/>
      <c r="I185" s="57"/>
      <c r="J185" s="49">
        <f>SUM(Q175:Q188)+SUM(V175:V188)+SUM(X175:X188)+SUM(Y175:Y188)</f>
        <v>42.07</v>
      </c>
      <c r="K185" s="57"/>
      <c r="L185" s="49">
        <f>SUM(U175:U188)+SUM(W175:W188)+SUM(Z175:Z188)+SUM(AA175:AA188)</f>
        <v>1534.29</v>
      </c>
    </row>
    <row r="186" spans="1:12" ht="28.5">
      <c r="A186" s="73"/>
      <c r="B186" s="73" t="s">
        <v>537</v>
      </c>
      <c r="C186" s="73" t="s">
        <v>538</v>
      </c>
      <c r="D186" s="56" t="s">
        <v>531</v>
      </c>
      <c r="E186" s="51">
        <f>Source!BZ101</f>
        <v>147</v>
      </c>
      <c r="F186" s="51">
        <f>ROUND(0.9,7)</f>
        <v>0.9</v>
      </c>
      <c r="G186" s="51">
        <f>Source!AT101</f>
        <v>132.3</v>
      </c>
      <c r="H186" s="49"/>
      <c r="I186" s="57"/>
      <c r="J186" s="49">
        <f>SUM(AG175:AG188)</f>
        <v>55.66</v>
      </c>
      <c r="K186" s="57"/>
      <c r="L186" s="49">
        <f>SUM(AH175:AH188)</f>
        <v>2029.87</v>
      </c>
    </row>
    <row r="187" spans="1:12" ht="28.5">
      <c r="A187" s="75"/>
      <c r="B187" s="75" t="s">
        <v>539</v>
      </c>
      <c r="C187" s="75" t="s">
        <v>540</v>
      </c>
      <c r="D187" s="59" t="s">
        <v>531</v>
      </c>
      <c r="E187" s="60">
        <f>Source!CA101</f>
        <v>134</v>
      </c>
      <c r="F187" s="60">
        <f>ROUND(0.85,7)</f>
        <v>0.85</v>
      </c>
      <c r="G187" s="60">
        <f>Source!AU101</f>
        <v>113.9</v>
      </c>
      <c r="H187" s="61"/>
      <c r="I187" s="62"/>
      <c r="J187" s="61">
        <f>SUM(AI175:AI188)</f>
        <v>47.92</v>
      </c>
      <c r="K187" s="62"/>
      <c r="L187" s="61">
        <f>SUM(AJ175:AJ188)</f>
        <v>1747.56</v>
      </c>
    </row>
    <row r="188" spans="3:53" ht="15">
      <c r="C188" s="108" t="s">
        <v>533</v>
      </c>
      <c r="D188" s="108"/>
      <c r="E188" s="108"/>
      <c r="F188" s="108"/>
      <c r="G188" s="108"/>
      <c r="H188" s="108"/>
      <c r="I188" s="108">
        <f>J178+J179+J186+J187+SUM(J184:J184)</f>
        <v>9498.29</v>
      </c>
      <c r="J188" s="108"/>
      <c r="O188" s="47">
        <f>I188</f>
        <v>9498.29</v>
      </c>
      <c r="P188">
        <f>K188</f>
        <v>0</v>
      </c>
      <c r="Q188" s="47">
        <f>J178</f>
        <v>41.21</v>
      </c>
      <c r="R188" s="47">
        <f>J178</f>
        <v>41.21</v>
      </c>
      <c r="U188" s="47">
        <f>L178</f>
        <v>1502.93</v>
      </c>
      <c r="X188" s="47">
        <f>J180</f>
        <v>0.86</v>
      </c>
      <c r="Z188" s="47">
        <f>L180</f>
        <v>31.36</v>
      </c>
      <c r="AB188" s="47">
        <f>J179</f>
        <v>6.06</v>
      </c>
      <c r="AD188" s="47">
        <f>L179</f>
        <v>0</v>
      </c>
      <c r="AF188">
        <f>0</f>
        <v>0</v>
      </c>
      <c r="AN188">
        <f>IF(Source!BI101&lt;=1,J178+J179+J186+J187,0)</f>
        <v>150.85000000000002</v>
      </c>
      <c r="AO188">
        <f>IF(Source!BI101&lt;=1,0,0)</f>
        <v>0</v>
      </c>
      <c r="AP188">
        <f>IF(Source!BI101&lt;=1,J179,0)</f>
        <v>6.06</v>
      </c>
      <c r="AQ188">
        <f>IF(Source!BI101&lt;=1,J178,0)</f>
        <v>41.21</v>
      </c>
      <c r="AX188">
        <f>IF(Source!BI101=2,J178+J179+J186+J187,0)</f>
        <v>0</v>
      </c>
      <c r="AY188">
        <f>IF(Source!BI101=2,0,0)</f>
        <v>0</v>
      </c>
      <c r="AZ188">
        <f>IF(Source!BI101=2,J179,0)</f>
        <v>0</v>
      </c>
      <c r="BA188">
        <f>IF(Source!BI101=2,J178,0)</f>
        <v>0</v>
      </c>
    </row>
    <row r="189" spans="1:56" ht="144.75">
      <c r="A189" s="73">
        <v>10</v>
      </c>
      <c r="B189" s="73" t="str">
        <f>Source!F105</f>
        <v>08-01-003-01</v>
      </c>
      <c r="C189" s="73" t="s">
        <v>580</v>
      </c>
      <c r="D189" s="56" t="str">
        <f>Source!H105</f>
        <v>100 м2</v>
      </c>
      <c r="E189" s="51">
        <f>Source!K105</f>
        <v>1.733</v>
      </c>
      <c r="F189" s="51"/>
      <c r="G189" s="51">
        <f>Source!I105</f>
        <v>1.733</v>
      </c>
      <c r="H189" s="49"/>
      <c r="I189" s="57"/>
      <c r="J189" s="49"/>
      <c r="K189" s="57"/>
      <c r="L189" s="49"/>
      <c r="AG189">
        <f>Source!X105</f>
        <v>652.87</v>
      </c>
      <c r="AH189">
        <f>Source!HK105</f>
        <v>23810</v>
      </c>
      <c r="AI189">
        <f>Source!Y105</f>
        <v>386.77</v>
      </c>
      <c r="AJ189">
        <f>Source!HL105</f>
        <v>14105.62</v>
      </c>
      <c r="AS189">
        <f>IF(Source!BI105&lt;=1,AH189,0)</f>
        <v>23810</v>
      </c>
      <c r="AT189">
        <f>IF(Source!BI105&lt;=1,AJ189,0)</f>
        <v>14105.62</v>
      </c>
      <c r="BC189">
        <f>IF(Source!BI105=2,AH189,0)</f>
        <v>0</v>
      </c>
      <c r="BD189">
        <f>IF(Source!BI105=2,AJ189,0)</f>
        <v>0</v>
      </c>
    </row>
    <row r="190" spans="2:3" ht="165.75">
      <c r="B190" s="48" t="str">
        <f>Source!EO105</f>
        <v>Поправка: М-ка 421/пр 04.08.20 п.58 п.п. б)</v>
      </c>
      <c r="C190" s="48" t="str">
        <f>Source!CN105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91" ht="12.75">
      <c r="C191" s="45" t="str">
        <f>"Объем: "&amp;Source!K105&amp;"=173,3/"&amp;"100"</f>
        <v>Объем: 1,733=173,3/100</v>
      </c>
    </row>
    <row r="192" spans="1:12" ht="14.25">
      <c r="A192" s="73"/>
      <c r="B192" s="74">
        <v>1</v>
      </c>
      <c r="C192" s="73" t="s">
        <v>522</v>
      </c>
      <c r="D192" s="56"/>
      <c r="E192" s="51"/>
      <c r="F192" s="51"/>
      <c r="G192" s="51"/>
      <c r="H192" s="49">
        <f>Source!AO105</f>
        <v>325.85</v>
      </c>
      <c r="I192" s="57">
        <f>ROUND(1.15,7)</f>
        <v>1.15</v>
      </c>
      <c r="J192" s="49">
        <f>ROUND(Source!AF105*Source!I105,2)</f>
        <v>649.41</v>
      </c>
      <c r="K192" s="57">
        <f>IF(Source!BA105&lt;&gt;0,Source!BA105,1)</f>
        <v>36.47</v>
      </c>
      <c r="L192" s="49">
        <f>Source!HJ105</f>
        <v>23683.98</v>
      </c>
    </row>
    <row r="193" spans="1:12" ht="14.25">
      <c r="A193" s="73"/>
      <c r="B193" s="74">
        <v>3</v>
      </c>
      <c r="C193" s="73" t="s">
        <v>523</v>
      </c>
      <c r="D193" s="56"/>
      <c r="E193" s="51"/>
      <c r="F193" s="51"/>
      <c r="G193" s="51"/>
      <c r="H193" s="49">
        <f>Source!AM105</f>
        <v>26.28</v>
      </c>
      <c r="I193" s="57">
        <f>ROUND(1.25,7)</f>
        <v>1.25</v>
      </c>
      <c r="J193" s="49">
        <f>ROUND(((((Source!ET105*ROUND(1.25,7)))-((Source!EU105*ROUND(1.25,7))))+Source!AE105)*Source!I105,2)</f>
        <v>56.93</v>
      </c>
      <c r="K193" s="57"/>
      <c r="L193" s="49"/>
    </row>
    <row r="194" spans="1:12" ht="14.25">
      <c r="A194" s="73"/>
      <c r="B194" s="74">
        <v>2</v>
      </c>
      <c r="C194" s="73" t="s">
        <v>524</v>
      </c>
      <c r="D194" s="56"/>
      <c r="E194" s="51"/>
      <c r="F194" s="51"/>
      <c r="G194" s="51"/>
      <c r="H194" s="49">
        <f>Source!AN105</f>
        <v>4.64</v>
      </c>
      <c r="I194" s="57">
        <f>ROUND(1.25,7)</f>
        <v>1.25</v>
      </c>
      <c r="J194" s="58">
        <f>ROUND(Source!AE105*Source!I105,2)</f>
        <v>10.05</v>
      </c>
      <c r="K194" s="57">
        <f>IF(Source!BS105&lt;&gt;0,Source!BS105,1)</f>
        <v>36.47</v>
      </c>
      <c r="L194" s="58">
        <f>Source!HI105</f>
        <v>366.52</v>
      </c>
    </row>
    <row r="195" spans="1:12" ht="14.25">
      <c r="A195" s="73"/>
      <c r="B195" s="74">
        <v>4</v>
      </c>
      <c r="C195" s="73" t="s">
        <v>564</v>
      </c>
      <c r="D195" s="56"/>
      <c r="E195" s="51"/>
      <c r="F195" s="51"/>
      <c r="G195" s="51"/>
      <c r="H195" s="49">
        <f>Source!AL105</f>
        <v>137.28</v>
      </c>
      <c r="I195" s="57"/>
      <c r="J195" s="49">
        <f>ROUND(Source!AC105*Source!I105,2)</f>
        <v>237.91</v>
      </c>
      <c r="K195" s="57"/>
      <c r="L195" s="49"/>
    </row>
    <row r="196" spans="1:12" ht="14.25">
      <c r="A196" s="73"/>
      <c r="B196" s="73"/>
      <c r="C196" s="73" t="s">
        <v>525</v>
      </c>
      <c r="D196" s="56" t="s">
        <v>526</v>
      </c>
      <c r="E196" s="51">
        <f>Source!AQ105</f>
        <v>38.2</v>
      </c>
      <c r="F196" s="51">
        <f>ROUND(1.15,7)</f>
        <v>1.15</v>
      </c>
      <c r="G196" s="103">
        <f>ROUND(Source!U105,7)</f>
        <v>76.13069</v>
      </c>
      <c r="H196" s="49"/>
      <c r="I196" s="57"/>
      <c r="J196" s="49"/>
      <c r="K196" s="57"/>
      <c r="L196" s="49"/>
    </row>
    <row r="197" spans="1:12" ht="14.25">
      <c r="A197" s="73"/>
      <c r="B197" s="73"/>
      <c r="C197" s="75" t="s">
        <v>527</v>
      </c>
      <c r="D197" s="59" t="s">
        <v>526</v>
      </c>
      <c r="E197" s="60">
        <f>Source!AR105</f>
        <v>0.4</v>
      </c>
      <c r="F197" s="60">
        <f>ROUND(1.25,7)</f>
        <v>1.25</v>
      </c>
      <c r="G197" s="104">
        <f>ROUND(Source!V105,7)</f>
        <v>0.8665</v>
      </c>
      <c r="H197" s="61"/>
      <c r="I197" s="62"/>
      <c r="J197" s="61"/>
      <c r="K197" s="62"/>
      <c r="L197" s="61"/>
    </row>
    <row r="198" spans="1:12" ht="14.25">
      <c r="A198" s="73"/>
      <c r="B198" s="73"/>
      <c r="C198" s="73" t="s">
        <v>528</v>
      </c>
      <c r="D198" s="56"/>
      <c r="E198" s="51"/>
      <c r="F198" s="51"/>
      <c r="G198" s="51"/>
      <c r="H198" s="49">
        <f>H192+H193+H195</f>
        <v>489.40999999999997</v>
      </c>
      <c r="I198" s="57"/>
      <c r="J198" s="49">
        <f>J192+J193+J195</f>
        <v>944.2499999999999</v>
      </c>
      <c r="K198" s="57"/>
      <c r="L198" s="49"/>
    </row>
    <row r="199" spans="1:56" ht="28.5">
      <c r="A199" s="73" t="s">
        <v>216</v>
      </c>
      <c r="B199" s="73" t="str">
        <f>Source!F107</f>
        <v>04.3.01.09-0001</v>
      </c>
      <c r="C199" s="73" t="str">
        <f>Source!G107</f>
        <v>Раствор готовый кладочный цементный тяжелый</v>
      </c>
      <c r="D199" s="56" t="str">
        <f>Source!H107</f>
        <v>м3</v>
      </c>
      <c r="E199" s="51">
        <f>SmtRes!AT102</f>
        <v>3.1</v>
      </c>
      <c r="F199" s="51"/>
      <c r="G199" s="103">
        <f>Source!I107</f>
        <v>5.3723</v>
      </c>
      <c r="H199" s="49">
        <f>Source!AL107+Source!AO107+Source!AM107</f>
        <v>424.88</v>
      </c>
      <c r="I199" s="57"/>
      <c r="J199" s="49">
        <f>ROUND(Source!AC107*Source!I107,2)+ROUND((((Source!ET107)-(Source!EU107))+Source!AE107)*Source!I107,2)+ROUND(Source!AF107*Source!I107,2)</f>
        <v>2282.58</v>
      </c>
      <c r="K199" s="57"/>
      <c r="L199" s="49"/>
      <c r="AF199" s="47">
        <f>J199</f>
        <v>2282.58</v>
      </c>
      <c r="AG199">
        <f>Source!X107</f>
        <v>0</v>
      </c>
      <c r="AH199">
        <f>Source!HK107</f>
        <v>0</v>
      </c>
      <c r="AI199">
        <f>Source!Y107</f>
        <v>0</v>
      </c>
      <c r="AJ199">
        <f>Source!HL107</f>
        <v>0</v>
      </c>
      <c r="AN199">
        <f>IF(Source!BI107&lt;=1,J199,0)</f>
        <v>2282.58</v>
      </c>
      <c r="AO199">
        <f>IF(Source!BI107&lt;=1,J199,0)</f>
        <v>2282.58</v>
      </c>
      <c r="AS199">
        <f>IF(Source!BI107&lt;=1,AH199,0)</f>
        <v>0</v>
      </c>
      <c r="AT199">
        <f>IF(Source!BI107&lt;=1,AJ199,0)</f>
        <v>0</v>
      </c>
      <c r="AX199">
        <f>IF(Source!BI107=2,J199,0)</f>
        <v>0</v>
      </c>
      <c r="AY199">
        <f>IF(Source!BI107=2,J199,0)</f>
        <v>0</v>
      </c>
      <c r="BC199">
        <f>IF(Source!BI107=2,AH199,0)</f>
        <v>0</v>
      </c>
      <c r="BD199">
        <f>IF(Source!BI107=2,AJ199,0)</f>
        <v>0</v>
      </c>
    </row>
    <row r="200" spans="1:12" ht="14.25">
      <c r="A200" s="73"/>
      <c r="B200" s="73"/>
      <c r="C200" s="73" t="s">
        <v>529</v>
      </c>
      <c r="D200" s="56"/>
      <c r="E200" s="51"/>
      <c r="F200" s="51"/>
      <c r="G200" s="51"/>
      <c r="H200" s="49"/>
      <c r="I200" s="57"/>
      <c r="J200" s="49">
        <f>SUM(Q189:Q203)+SUM(V189:V203)+SUM(X189:X203)+SUM(Y189:Y203)</f>
        <v>659.4599999999999</v>
      </c>
      <c r="K200" s="57"/>
      <c r="L200" s="49">
        <f>SUM(U189:U203)+SUM(W189:W203)+SUM(Z189:Z203)+SUM(AA189:AA203)</f>
        <v>24050.5</v>
      </c>
    </row>
    <row r="201" spans="1:12" ht="28.5">
      <c r="A201" s="73"/>
      <c r="B201" s="73" t="s">
        <v>581</v>
      </c>
      <c r="C201" s="73" t="s">
        <v>582</v>
      </c>
      <c r="D201" s="56" t="s">
        <v>531</v>
      </c>
      <c r="E201" s="51">
        <f>Source!BZ105</f>
        <v>110</v>
      </c>
      <c r="F201" s="51">
        <f>ROUND(0.9,7)</f>
        <v>0.9</v>
      </c>
      <c r="G201" s="51">
        <f>Source!AT105</f>
        <v>99</v>
      </c>
      <c r="H201" s="49"/>
      <c r="I201" s="57"/>
      <c r="J201" s="49">
        <f>SUM(AG189:AG203)</f>
        <v>652.87</v>
      </c>
      <c r="K201" s="57"/>
      <c r="L201" s="49">
        <f>SUM(AH189:AH203)</f>
        <v>23810</v>
      </c>
    </row>
    <row r="202" spans="1:12" ht="28.5">
      <c r="A202" s="75"/>
      <c r="B202" s="75" t="s">
        <v>583</v>
      </c>
      <c r="C202" s="75" t="s">
        <v>584</v>
      </c>
      <c r="D202" s="59" t="s">
        <v>531</v>
      </c>
      <c r="E202" s="60">
        <f>Source!CA105</f>
        <v>69</v>
      </c>
      <c r="F202" s="60">
        <f>ROUND(0.85,7)</f>
        <v>0.85</v>
      </c>
      <c r="G202" s="60">
        <f>Source!AU105</f>
        <v>58.65</v>
      </c>
      <c r="H202" s="61"/>
      <c r="I202" s="62"/>
      <c r="J202" s="61">
        <f>SUM(AI189:AI203)</f>
        <v>386.77</v>
      </c>
      <c r="K202" s="62"/>
      <c r="L202" s="61">
        <f>SUM(AJ189:AJ203)</f>
        <v>14105.62</v>
      </c>
    </row>
    <row r="203" spans="3:53" ht="15">
      <c r="C203" s="108" t="s">
        <v>533</v>
      </c>
      <c r="D203" s="108"/>
      <c r="E203" s="108"/>
      <c r="F203" s="108"/>
      <c r="G203" s="108"/>
      <c r="H203" s="108"/>
      <c r="I203" s="108">
        <f>J192+J193+J195+J201+J202+SUM(J199:J199)</f>
        <v>4266.469999999999</v>
      </c>
      <c r="J203" s="108"/>
      <c r="O203" s="47">
        <f>I203</f>
        <v>4266.469999999999</v>
      </c>
      <c r="P203">
        <f>K203</f>
        <v>0</v>
      </c>
      <c r="Q203" s="47">
        <f>J192</f>
        <v>649.41</v>
      </c>
      <c r="R203" s="47">
        <f>J192</f>
        <v>649.41</v>
      </c>
      <c r="U203" s="47">
        <f>L192</f>
        <v>23683.98</v>
      </c>
      <c r="X203" s="47">
        <f>J194</f>
        <v>10.05</v>
      </c>
      <c r="Z203" s="47">
        <f>L194</f>
        <v>366.52</v>
      </c>
      <c r="AB203" s="47">
        <f>J193</f>
        <v>56.93</v>
      </c>
      <c r="AD203" s="47">
        <f>L193</f>
        <v>0</v>
      </c>
      <c r="AF203" s="47">
        <f>J195</f>
        <v>237.91</v>
      </c>
      <c r="AN203">
        <f>IF(Source!BI105&lt;=1,J192+J193+J195+J201+J202,0)</f>
        <v>1983.8899999999999</v>
      </c>
      <c r="AO203">
        <f>IF(Source!BI105&lt;=1,J195,0)</f>
        <v>237.91</v>
      </c>
      <c r="AP203">
        <f>IF(Source!BI105&lt;=1,J193,0)</f>
        <v>56.93</v>
      </c>
      <c r="AQ203">
        <f>IF(Source!BI105&lt;=1,J192,0)</f>
        <v>649.41</v>
      </c>
      <c r="AX203">
        <f>IF(Source!BI105=2,J192+J193+J195+J201+J202,0)</f>
        <v>0</v>
      </c>
      <c r="AY203">
        <f>IF(Source!BI105=2,J195,0)</f>
        <v>0</v>
      </c>
      <c r="AZ203">
        <f>IF(Source!BI105=2,J193,0)</f>
        <v>0</v>
      </c>
      <c r="BA203">
        <f>IF(Source!BI105=2,J192,0)</f>
        <v>0</v>
      </c>
    </row>
    <row r="204" spans="1:56" ht="130.5">
      <c r="A204" s="73">
        <v>11</v>
      </c>
      <c r="B204" s="73" t="str">
        <f>Source!F109</f>
        <v>27-02-010-01</v>
      </c>
      <c r="C204" s="73" t="s">
        <v>585</v>
      </c>
      <c r="D204" s="56" t="str">
        <f>Source!H109</f>
        <v>100 м</v>
      </c>
      <c r="E204" s="51">
        <f>Source!K109</f>
        <v>0.6</v>
      </c>
      <c r="F204" s="51"/>
      <c r="G204" s="51">
        <f>Source!I109</f>
        <v>0.6</v>
      </c>
      <c r="H204" s="49"/>
      <c r="I204" s="57"/>
      <c r="J204" s="49"/>
      <c r="K204" s="57"/>
      <c r="L204" s="49"/>
      <c r="AG204">
        <f>Source!X109</f>
        <v>547.7</v>
      </c>
      <c r="AH204">
        <f>Source!HK109</f>
        <v>19974.46</v>
      </c>
      <c r="AI204">
        <f>Source!Y109</f>
        <v>471.52</v>
      </c>
      <c r="AJ204">
        <f>Source!HL109</f>
        <v>17196.45</v>
      </c>
      <c r="AS204">
        <f>IF(Source!BI109&lt;=1,AH204,0)</f>
        <v>19974.46</v>
      </c>
      <c r="AT204">
        <f>IF(Source!BI109&lt;=1,AJ204,0)</f>
        <v>17196.45</v>
      </c>
      <c r="BC204">
        <f>IF(Source!BI109=2,AH204,0)</f>
        <v>0</v>
      </c>
      <c r="BD204">
        <f>IF(Source!BI109=2,AJ204,0)</f>
        <v>0</v>
      </c>
    </row>
    <row r="205" spans="2:3" ht="165.75">
      <c r="B205" s="48" t="str">
        <f>Source!EO109</f>
        <v>Поправка: М-ка 421/пр 04.08.20 п.58 п.п. б)</v>
      </c>
      <c r="C205" s="48" t="str">
        <f>Source!CN109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206" ht="12.75">
      <c r="C206" s="45" t="str">
        <f>"Объем: "&amp;Source!K109&amp;"=60/"&amp;"100"</f>
        <v>Объем: 0,6=60/100</v>
      </c>
    </row>
    <row r="207" spans="1:12" ht="14.25">
      <c r="A207" s="73"/>
      <c r="B207" s="74">
        <v>1</v>
      </c>
      <c r="C207" s="73" t="s">
        <v>522</v>
      </c>
      <c r="D207" s="56"/>
      <c r="E207" s="51"/>
      <c r="F207" s="51"/>
      <c r="G207" s="51"/>
      <c r="H207" s="49">
        <f>Source!AO109</f>
        <v>590.51</v>
      </c>
      <c r="I207" s="57">
        <f>ROUND(1.15,7)</f>
        <v>1.15</v>
      </c>
      <c r="J207" s="49">
        <f>ROUND(Source!AF109*Source!I109,2)</f>
        <v>407.45</v>
      </c>
      <c r="K207" s="57">
        <f>IF(Source!BA109&lt;&gt;0,Source!BA109,1)</f>
        <v>36.47</v>
      </c>
      <c r="L207" s="49">
        <f>Source!HJ109</f>
        <v>14859.7</v>
      </c>
    </row>
    <row r="208" spans="1:12" ht="14.25">
      <c r="A208" s="73"/>
      <c r="B208" s="74">
        <v>3</v>
      </c>
      <c r="C208" s="73" t="s">
        <v>523</v>
      </c>
      <c r="D208" s="56"/>
      <c r="E208" s="51"/>
      <c r="F208" s="51"/>
      <c r="G208" s="51"/>
      <c r="H208" s="49">
        <f>Source!AM109</f>
        <v>73.02</v>
      </c>
      <c r="I208" s="57">
        <f>ROUND(1.25,7)</f>
        <v>1.25</v>
      </c>
      <c r="J208" s="49">
        <f>ROUND(((((Source!ET109*ROUND(1.25,7)))-((Source!EU109*ROUND(1.25,7))))+Source!AE109)*Source!I109,2)</f>
        <v>54.77</v>
      </c>
      <c r="K208" s="57"/>
      <c r="L208" s="49"/>
    </row>
    <row r="209" spans="1:12" ht="14.25">
      <c r="A209" s="73"/>
      <c r="B209" s="74">
        <v>2</v>
      </c>
      <c r="C209" s="73" t="s">
        <v>524</v>
      </c>
      <c r="D209" s="56"/>
      <c r="E209" s="51"/>
      <c r="F209" s="51"/>
      <c r="G209" s="51"/>
      <c r="H209" s="49">
        <f>Source!AN109</f>
        <v>8.7</v>
      </c>
      <c r="I209" s="57">
        <f>ROUND(1.25,7)</f>
        <v>1.25</v>
      </c>
      <c r="J209" s="58">
        <f>ROUND(Source!AE109*Source!I109,2)</f>
        <v>6.53</v>
      </c>
      <c r="K209" s="57">
        <f>IF(Source!BS109&lt;&gt;0,Source!BS109,1)</f>
        <v>36.47</v>
      </c>
      <c r="L209" s="58">
        <f>Source!HI109</f>
        <v>238.15</v>
      </c>
    </row>
    <row r="210" spans="1:12" ht="14.25">
      <c r="A210" s="73"/>
      <c r="B210" s="74">
        <v>4</v>
      </c>
      <c r="C210" s="73" t="s">
        <v>564</v>
      </c>
      <c r="D210" s="56"/>
      <c r="E210" s="51"/>
      <c r="F210" s="51"/>
      <c r="G210" s="51"/>
      <c r="H210" s="49">
        <f>Source!AL109</f>
        <v>2504.53</v>
      </c>
      <c r="I210" s="57"/>
      <c r="J210" s="49">
        <f>ROUND(Source!AC109*Source!I109,2)</f>
        <v>1502.72</v>
      </c>
      <c r="K210" s="57"/>
      <c r="L210" s="49"/>
    </row>
    <row r="211" spans="1:12" ht="14.25">
      <c r="A211" s="73"/>
      <c r="B211" s="73"/>
      <c r="C211" s="73" t="s">
        <v>525</v>
      </c>
      <c r="D211" s="56" t="s">
        <v>526</v>
      </c>
      <c r="E211" s="51">
        <f>Source!AQ109</f>
        <v>69.8</v>
      </c>
      <c r="F211" s="51">
        <f>ROUND(1.15,7)</f>
        <v>1.15</v>
      </c>
      <c r="G211" s="103">
        <f>ROUND(Source!U109,7)</f>
        <v>48.162</v>
      </c>
      <c r="H211" s="49"/>
      <c r="I211" s="57"/>
      <c r="J211" s="49"/>
      <c r="K211" s="57"/>
      <c r="L211" s="49"/>
    </row>
    <row r="212" spans="1:12" ht="14.25">
      <c r="A212" s="73"/>
      <c r="B212" s="73"/>
      <c r="C212" s="75" t="s">
        <v>527</v>
      </c>
      <c r="D212" s="59" t="s">
        <v>526</v>
      </c>
      <c r="E212" s="60">
        <f>Source!AR109</f>
        <v>0.65</v>
      </c>
      <c r="F212" s="60">
        <f>ROUND(1.25,7)</f>
        <v>1.25</v>
      </c>
      <c r="G212" s="104">
        <f>ROUND(Source!V109,7)</f>
        <v>0.4875</v>
      </c>
      <c r="H212" s="61"/>
      <c r="I212" s="62"/>
      <c r="J212" s="61"/>
      <c r="K212" s="62"/>
      <c r="L212" s="61"/>
    </row>
    <row r="213" spans="1:12" ht="14.25">
      <c r="A213" s="73"/>
      <c r="B213" s="73"/>
      <c r="C213" s="73" t="s">
        <v>528</v>
      </c>
      <c r="D213" s="56"/>
      <c r="E213" s="51"/>
      <c r="F213" s="51"/>
      <c r="G213" s="51"/>
      <c r="H213" s="49">
        <f>H207+H208+H210</f>
        <v>3168.0600000000004</v>
      </c>
      <c r="I213" s="57"/>
      <c r="J213" s="49">
        <f>J207+J208+J210</f>
        <v>1964.94</v>
      </c>
      <c r="K213" s="57"/>
      <c r="L213" s="49"/>
    </row>
    <row r="214" spans="1:12" ht="14.25">
      <c r="A214" s="73"/>
      <c r="B214" s="73"/>
      <c r="C214" s="73" t="s">
        <v>529</v>
      </c>
      <c r="D214" s="56"/>
      <c r="E214" s="51"/>
      <c r="F214" s="51"/>
      <c r="G214" s="51"/>
      <c r="H214" s="49"/>
      <c r="I214" s="57"/>
      <c r="J214" s="49">
        <f>SUM(Q204:Q217)+SUM(V204:V217)+SUM(X204:X217)+SUM(Y204:Y217)</f>
        <v>413.97999999999996</v>
      </c>
      <c r="K214" s="57"/>
      <c r="L214" s="49">
        <f>SUM(U204:U217)+SUM(W204:W217)+SUM(Z204:Z217)+SUM(AA204:AA217)</f>
        <v>15097.85</v>
      </c>
    </row>
    <row r="215" spans="1:12" ht="28.5">
      <c r="A215" s="73"/>
      <c r="B215" s="73" t="s">
        <v>537</v>
      </c>
      <c r="C215" s="73" t="s">
        <v>538</v>
      </c>
      <c r="D215" s="56" t="s">
        <v>531</v>
      </c>
      <c r="E215" s="51">
        <f>Source!BZ109</f>
        <v>147</v>
      </c>
      <c r="F215" s="51">
        <f>ROUND(0.9,7)</f>
        <v>0.9</v>
      </c>
      <c r="G215" s="51">
        <f>Source!AT109</f>
        <v>132.3</v>
      </c>
      <c r="H215" s="49"/>
      <c r="I215" s="57"/>
      <c r="J215" s="49">
        <f>SUM(AG204:AG217)</f>
        <v>547.7</v>
      </c>
      <c r="K215" s="57"/>
      <c r="L215" s="49">
        <f>SUM(AH204:AH217)</f>
        <v>19974.46</v>
      </c>
    </row>
    <row r="216" spans="1:12" ht="28.5">
      <c r="A216" s="75"/>
      <c r="B216" s="75" t="s">
        <v>539</v>
      </c>
      <c r="C216" s="75" t="s">
        <v>540</v>
      </c>
      <c r="D216" s="59" t="s">
        <v>531</v>
      </c>
      <c r="E216" s="60">
        <f>Source!CA109</f>
        <v>134</v>
      </c>
      <c r="F216" s="60">
        <f>ROUND(0.85,7)</f>
        <v>0.85</v>
      </c>
      <c r="G216" s="60">
        <f>Source!AU109</f>
        <v>113.9</v>
      </c>
      <c r="H216" s="61"/>
      <c r="I216" s="62"/>
      <c r="J216" s="61">
        <f>SUM(AI204:AI217)</f>
        <v>471.52</v>
      </c>
      <c r="K216" s="62"/>
      <c r="L216" s="61">
        <f>SUM(AJ204:AJ217)</f>
        <v>17196.45</v>
      </c>
    </row>
    <row r="217" spans="3:53" ht="15">
      <c r="C217" s="108" t="s">
        <v>533</v>
      </c>
      <c r="D217" s="108"/>
      <c r="E217" s="108"/>
      <c r="F217" s="108"/>
      <c r="G217" s="108"/>
      <c r="H217" s="108"/>
      <c r="I217" s="108">
        <f>J207+J208+J210+J215+J216</f>
        <v>2984.1600000000003</v>
      </c>
      <c r="J217" s="108"/>
      <c r="O217" s="47">
        <f>I217</f>
        <v>2984.1600000000003</v>
      </c>
      <c r="P217">
        <f>K217</f>
        <v>0</v>
      </c>
      <c r="Q217" s="47">
        <f>J207</f>
        <v>407.45</v>
      </c>
      <c r="R217" s="47">
        <f>J207</f>
        <v>407.45</v>
      </c>
      <c r="U217" s="47">
        <f>L207</f>
        <v>14859.7</v>
      </c>
      <c r="X217" s="47">
        <f>J209</f>
        <v>6.53</v>
      </c>
      <c r="Z217" s="47">
        <f>L209</f>
        <v>238.15</v>
      </c>
      <c r="AB217" s="47">
        <f>J208</f>
        <v>54.77</v>
      </c>
      <c r="AD217" s="47">
        <f>L208</f>
        <v>0</v>
      </c>
      <c r="AF217" s="47">
        <f>J210</f>
        <v>1502.72</v>
      </c>
      <c r="AN217">
        <f>IF(Source!BI109&lt;=1,J207+J208+J210+J215+J216,0)</f>
        <v>2984.1600000000003</v>
      </c>
      <c r="AO217">
        <f>IF(Source!BI109&lt;=1,J210,0)</f>
        <v>1502.72</v>
      </c>
      <c r="AP217">
        <f>IF(Source!BI109&lt;=1,J208,0)</f>
        <v>54.77</v>
      </c>
      <c r="AQ217">
        <f>IF(Source!BI109&lt;=1,J207,0)</f>
        <v>407.45</v>
      </c>
      <c r="AX217">
        <f>IF(Source!BI109=2,J207+J208+J210+J215+J216,0)</f>
        <v>0</v>
      </c>
      <c r="AY217">
        <f>IF(Source!BI109=2,J210,0)</f>
        <v>0</v>
      </c>
      <c r="AZ217">
        <f>IF(Source!BI109=2,J208,0)</f>
        <v>0</v>
      </c>
      <c r="BA217">
        <f>IF(Source!BI109=2,J207,0)</f>
        <v>0</v>
      </c>
    </row>
    <row r="218" spans="1:56" ht="144.75">
      <c r="A218" s="73">
        <v>12</v>
      </c>
      <c r="B218" s="73" t="str">
        <f>Source!F111</f>
        <v>27-07-012-01</v>
      </c>
      <c r="C218" s="73" t="s">
        <v>586</v>
      </c>
      <c r="D218" s="56" t="str">
        <f>Source!H111</f>
        <v>100 м2</v>
      </c>
      <c r="E218" s="51">
        <f>Source!K111</f>
        <v>1.733</v>
      </c>
      <c r="F218" s="51"/>
      <c r="G218" s="51">
        <f>Source!I111</f>
        <v>1.733</v>
      </c>
      <c r="H218" s="49"/>
      <c r="I218" s="57"/>
      <c r="J218" s="49"/>
      <c r="K218" s="57"/>
      <c r="L218" s="49"/>
      <c r="AG218">
        <f>Source!X111</f>
        <v>4172.13</v>
      </c>
      <c r="AH218">
        <f>Source!HK111</f>
        <v>152157.71</v>
      </c>
      <c r="AI218">
        <f>Source!Y111</f>
        <v>3591.88</v>
      </c>
      <c r="AJ218">
        <f>Source!HL111</f>
        <v>130995.95</v>
      </c>
      <c r="AS218">
        <f>IF(Source!BI111&lt;=1,AH218,0)</f>
        <v>152157.71</v>
      </c>
      <c r="AT218">
        <f>IF(Source!BI111&lt;=1,AJ218,0)</f>
        <v>130995.95</v>
      </c>
      <c r="BC218">
        <f>IF(Source!BI111=2,AH218,0)</f>
        <v>0</v>
      </c>
      <c r="BD218">
        <f>IF(Source!BI111=2,AJ218,0)</f>
        <v>0</v>
      </c>
    </row>
    <row r="219" spans="2:3" ht="165.75">
      <c r="B219" s="48" t="str">
        <f>Source!EO111</f>
        <v>Поправка: М-ка 421/пр 04.08.20 п.58 п.п. б)</v>
      </c>
      <c r="C219" s="48" t="str">
        <f>Source!CN111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220" ht="12.75">
      <c r="C220" s="45" t="str">
        <f>"Объем: "&amp;Source!K111&amp;"=173,3/"&amp;"100"</f>
        <v>Объем: 1,733=173,3/100</v>
      </c>
    </row>
    <row r="221" spans="1:12" ht="14.25">
      <c r="A221" s="73"/>
      <c r="B221" s="74">
        <v>1</v>
      </c>
      <c r="C221" s="73" t="s">
        <v>522</v>
      </c>
      <c r="D221" s="56"/>
      <c r="E221" s="51"/>
      <c r="F221" s="51"/>
      <c r="G221" s="51"/>
      <c r="H221" s="49">
        <f>Source!AO111</f>
        <v>1521.53</v>
      </c>
      <c r="I221" s="57">
        <f>ROUND(1.15,7)</f>
        <v>1.15</v>
      </c>
      <c r="J221" s="49">
        <f>ROUND(Source!AF111*Source!I111,2)</f>
        <v>3032.33</v>
      </c>
      <c r="K221" s="57">
        <f>IF(Source!BA111&lt;&gt;0,Source!BA111,1)</f>
        <v>36.47</v>
      </c>
      <c r="L221" s="49">
        <f>Source!HJ111</f>
        <v>110589.08</v>
      </c>
    </row>
    <row r="222" spans="1:12" ht="14.25">
      <c r="A222" s="73"/>
      <c r="B222" s="74">
        <v>3</v>
      </c>
      <c r="C222" s="73" t="s">
        <v>523</v>
      </c>
      <c r="D222" s="56"/>
      <c r="E222" s="51"/>
      <c r="F222" s="51"/>
      <c r="G222" s="51"/>
      <c r="H222" s="49">
        <f>Source!AM111</f>
        <v>565.9</v>
      </c>
      <c r="I222" s="57">
        <f>ROUND(1.25,7)</f>
        <v>1.25</v>
      </c>
      <c r="J222" s="49">
        <f>ROUND(((((Source!ET111*ROUND(1.25,7)))-((Source!EU111*ROUND(1.25,7))))+Source!AE111)*Source!I111,2)</f>
        <v>1225.89</v>
      </c>
      <c r="K222" s="57"/>
      <c r="L222" s="49"/>
    </row>
    <row r="223" spans="1:12" ht="14.25">
      <c r="A223" s="73"/>
      <c r="B223" s="74">
        <v>2</v>
      </c>
      <c r="C223" s="73" t="s">
        <v>524</v>
      </c>
      <c r="D223" s="56"/>
      <c r="E223" s="51"/>
      <c r="F223" s="51"/>
      <c r="G223" s="51"/>
      <c r="H223" s="49">
        <f>Source!AN111</f>
        <v>55.95</v>
      </c>
      <c r="I223" s="57">
        <f>ROUND(1.25,7)</f>
        <v>1.25</v>
      </c>
      <c r="J223" s="58">
        <f>ROUND(Source!AE111*Source!I111,2)</f>
        <v>121.21</v>
      </c>
      <c r="K223" s="57">
        <f>IF(Source!BS111&lt;&gt;0,Source!BS111,1)</f>
        <v>36.47</v>
      </c>
      <c r="L223" s="58">
        <f>Source!HI111</f>
        <v>4420.53</v>
      </c>
    </row>
    <row r="224" spans="1:12" ht="14.25">
      <c r="A224" s="73"/>
      <c r="B224" s="74">
        <v>4</v>
      </c>
      <c r="C224" s="73" t="s">
        <v>564</v>
      </c>
      <c r="D224" s="56"/>
      <c r="E224" s="51"/>
      <c r="F224" s="51"/>
      <c r="G224" s="51"/>
      <c r="H224" s="49">
        <f>Source!AL111</f>
        <v>2.61</v>
      </c>
      <c r="I224" s="57"/>
      <c r="J224" s="49">
        <f>ROUND(Source!AC111*Source!I111,2)</f>
        <v>4.52</v>
      </c>
      <c r="K224" s="57"/>
      <c r="L224" s="49"/>
    </row>
    <row r="225" spans="1:12" ht="14.25">
      <c r="A225" s="73"/>
      <c r="B225" s="73"/>
      <c r="C225" s="73" t="s">
        <v>525</v>
      </c>
      <c r="D225" s="56" t="s">
        <v>526</v>
      </c>
      <c r="E225" s="51">
        <f>Source!AQ111</f>
        <v>171.73</v>
      </c>
      <c r="F225" s="51">
        <f>ROUND(1.15,7)</f>
        <v>1.15</v>
      </c>
      <c r="G225" s="103">
        <f>ROUND(Source!U111,7)</f>
        <v>342.2493035</v>
      </c>
      <c r="H225" s="49"/>
      <c r="I225" s="57"/>
      <c r="J225" s="49"/>
      <c r="K225" s="57"/>
      <c r="L225" s="49"/>
    </row>
    <row r="226" spans="1:12" ht="14.25">
      <c r="A226" s="73"/>
      <c r="B226" s="73"/>
      <c r="C226" s="75" t="s">
        <v>527</v>
      </c>
      <c r="D226" s="59" t="s">
        <v>526</v>
      </c>
      <c r="E226" s="60">
        <f>Source!AR111</f>
        <v>5</v>
      </c>
      <c r="F226" s="60">
        <f>ROUND(1.25,7)</f>
        <v>1.25</v>
      </c>
      <c r="G226" s="104">
        <f>ROUND(Source!V111,7)</f>
        <v>10.83125</v>
      </c>
      <c r="H226" s="61"/>
      <c r="I226" s="62"/>
      <c r="J226" s="61"/>
      <c r="K226" s="62"/>
      <c r="L226" s="61"/>
    </row>
    <row r="227" spans="1:12" ht="14.25">
      <c r="A227" s="73"/>
      <c r="B227" s="73"/>
      <c r="C227" s="73" t="s">
        <v>528</v>
      </c>
      <c r="D227" s="56"/>
      <c r="E227" s="51"/>
      <c r="F227" s="51"/>
      <c r="G227" s="51"/>
      <c r="H227" s="49">
        <f>H221+H222+H224</f>
        <v>2090.04</v>
      </c>
      <c r="I227" s="57"/>
      <c r="J227" s="49">
        <f>J221+J222+J224</f>
        <v>4262.740000000001</v>
      </c>
      <c r="K227" s="57"/>
      <c r="L227" s="49"/>
    </row>
    <row r="228" spans="1:56" ht="28.5">
      <c r="A228" s="73" t="s">
        <v>228</v>
      </c>
      <c r="B228" s="73" t="str">
        <f>Source!F113</f>
        <v>13.2.04.03-0001</v>
      </c>
      <c r="C228" s="73" t="str">
        <f>Source!G113</f>
        <v>Плиты облицовочные, гранитные, класс 1,  толщина 30 мм</v>
      </c>
      <c r="D228" s="56" t="str">
        <f>Source!H113</f>
        <v>м2</v>
      </c>
      <c r="E228" s="103">
        <f>SmtRes!AT137</f>
        <v>105.202312</v>
      </c>
      <c r="F228" s="51"/>
      <c r="G228" s="103">
        <f>Source!I113</f>
        <v>182.315607</v>
      </c>
      <c r="H228" s="49">
        <f>Source!AL113+Source!AO113+Source!AM113</f>
        <v>493.81</v>
      </c>
      <c r="I228" s="57"/>
      <c r="J228" s="49">
        <f>ROUND(Source!AC113*Source!I113,2)+ROUND((((Source!ET113)-(Source!EU113))+Source!AE113)*Source!I113,2)+ROUND(Source!AF113*Source!I113,2)</f>
        <v>90029.27</v>
      </c>
      <c r="K228" s="57"/>
      <c r="L228" s="49"/>
      <c r="AF228" s="47">
        <f>J228</f>
        <v>90029.27</v>
      </c>
      <c r="AG228">
        <f>Source!X113</f>
        <v>0</v>
      </c>
      <c r="AH228">
        <f>Source!HK113</f>
        <v>0</v>
      </c>
      <c r="AI228">
        <f>Source!Y113</f>
        <v>0</v>
      </c>
      <c r="AJ228">
        <f>Source!HL113</f>
        <v>0</v>
      </c>
      <c r="AN228">
        <f>IF(Source!BI113&lt;=1,J228,0)</f>
        <v>90029.27</v>
      </c>
      <c r="AO228">
        <f>IF(Source!BI113&lt;=1,J228,0)</f>
        <v>90029.27</v>
      </c>
      <c r="AS228">
        <f>IF(Source!BI113&lt;=1,AH228,0)</f>
        <v>0</v>
      </c>
      <c r="AT228">
        <f>IF(Source!BI113&lt;=1,AJ228,0)</f>
        <v>0</v>
      </c>
      <c r="AX228">
        <f>IF(Source!BI113=2,J228,0)</f>
        <v>0</v>
      </c>
      <c r="AY228">
        <f>IF(Source!BI113=2,J228,0)</f>
        <v>0</v>
      </c>
      <c r="BC228">
        <f>IF(Source!BI113=2,AH228,0)</f>
        <v>0</v>
      </c>
      <c r="BD228">
        <f>IF(Source!BI113=2,AJ228,0)</f>
        <v>0</v>
      </c>
    </row>
    <row r="229" spans="1:56" ht="28.5">
      <c r="A229" s="73" t="s">
        <v>232</v>
      </c>
      <c r="B229" s="73" t="str">
        <f>Source!F115</f>
        <v>14.1.06.02-0010</v>
      </c>
      <c r="C229" s="73" t="str">
        <f>Source!G115</f>
        <v>Клей для плитки Ветонит "Клей для мраморной плитки"</v>
      </c>
      <c r="D229" s="56" t="str">
        <f>Source!H115</f>
        <v>т</v>
      </c>
      <c r="E229" s="103">
        <f>SmtRes!AT138</f>
        <v>0.977011</v>
      </c>
      <c r="F229" s="51"/>
      <c r="G229" s="103">
        <f>Source!I115</f>
        <v>1.69316</v>
      </c>
      <c r="H229" s="49">
        <f>Source!AL115+Source!AO115+Source!AM115</f>
        <v>6378.02</v>
      </c>
      <c r="I229" s="57"/>
      <c r="J229" s="49">
        <f>ROUND(Source!AC115*Source!I115,2)+ROUND((((Source!ET115)-(Source!EU115))+Source!AE115)*Source!I115,2)+ROUND(Source!AF115*Source!I115,2)</f>
        <v>10799.01</v>
      </c>
      <c r="K229" s="57"/>
      <c r="L229" s="49"/>
      <c r="AF229" s="47">
        <f>J229</f>
        <v>10799.01</v>
      </c>
      <c r="AG229">
        <f>Source!X115</f>
        <v>0</v>
      </c>
      <c r="AH229">
        <f>Source!HK115</f>
        <v>0</v>
      </c>
      <c r="AI229">
        <f>Source!Y115</f>
        <v>0</v>
      </c>
      <c r="AJ229">
        <f>Source!HL115</f>
        <v>0</v>
      </c>
      <c r="AN229">
        <f>IF(Source!BI115&lt;=1,J229,0)</f>
        <v>10799.01</v>
      </c>
      <c r="AO229">
        <f>IF(Source!BI115&lt;=1,J229,0)</f>
        <v>10799.01</v>
      </c>
      <c r="AS229">
        <f>IF(Source!BI115&lt;=1,AH229,0)</f>
        <v>0</v>
      </c>
      <c r="AT229">
        <f>IF(Source!BI115&lt;=1,AJ229,0)</f>
        <v>0</v>
      </c>
      <c r="AX229">
        <f>IF(Source!BI115=2,J229,0)</f>
        <v>0</v>
      </c>
      <c r="AY229">
        <f>IF(Source!BI115=2,J229,0)</f>
        <v>0</v>
      </c>
      <c r="BC229">
        <f>IF(Source!BI115=2,AH229,0)</f>
        <v>0</v>
      </c>
      <c r="BD229">
        <f>IF(Source!BI115=2,AJ229,0)</f>
        <v>0</v>
      </c>
    </row>
    <row r="230" spans="1:56" ht="42.75">
      <c r="A230" s="73" t="s">
        <v>236</v>
      </c>
      <c r="B230" s="73" t="str">
        <f>Source!F117</f>
        <v>04.3.02.09-0102</v>
      </c>
      <c r="C230" s="73" t="str">
        <f>Source!G117</f>
        <v>Смеси сухие водостойкие для затирки межплиточных швов шириной 1-6 мм (различная цветовая гамма)</v>
      </c>
      <c r="D230" s="56" t="str">
        <f>Source!H117</f>
        <v>т</v>
      </c>
      <c r="E230" s="103">
        <f>SmtRes!AT136</f>
        <v>0.090173</v>
      </c>
      <c r="F230" s="51"/>
      <c r="G230" s="103">
        <f>Source!I117</f>
        <v>0.15627</v>
      </c>
      <c r="H230" s="49">
        <f>Source!AL117+Source!AO117+Source!AM117</f>
        <v>6513</v>
      </c>
      <c r="I230" s="57"/>
      <c r="J230" s="49">
        <f>ROUND(Source!AC117*Source!I117,2)+ROUND((((Source!ET117)-(Source!EU117))+Source!AE117)*Source!I117,2)+ROUND(Source!AF117*Source!I117,2)</f>
        <v>1017.79</v>
      </c>
      <c r="K230" s="57"/>
      <c r="L230" s="49"/>
      <c r="AF230" s="47">
        <f>J230</f>
        <v>1017.79</v>
      </c>
      <c r="AG230">
        <f>Source!X117</f>
        <v>0</v>
      </c>
      <c r="AH230">
        <f>Source!HK117</f>
        <v>0</v>
      </c>
      <c r="AI230">
        <f>Source!Y117</f>
        <v>0</v>
      </c>
      <c r="AJ230">
        <f>Source!HL117</f>
        <v>0</v>
      </c>
      <c r="AN230">
        <f>IF(Source!BI117&lt;=1,J230,0)</f>
        <v>1017.79</v>
      </c>
      <c r="AO230">
        <f>IF(Source!BI117&lt;=1,J230,0)</f>
        <v>1017.79</v>
      </c>
      <c r="AS230">
        <f>IF(Source!BI117&lt;=1,AH230,0)</f>
        <v>0</v>
      </c>
      <c r="AT230">
        <f>IF(Source!BI117&lt;=1,AJ230,0)</f>
        <v>0</v>
      </c>
      <c r="AX230">
        <f>IF(Source!BI117=2,J230,0)</f>
        <v>0</v>
      </c>
      <c r="AY230">
        <f>IF(Source!BI117=2,J230,0)</f>
        <v>0</v>
      </c>
      <c r="BC230">
        <f>IF(Source!BI117=2,AH230,0)</f>
        <v>0</v>
      </c>
      <c r="BD230">
        <f>IF(Source!BI117=2,AJ230,0)</f>
        <v>0</v>
      </c>
    </row>
    <row r="231" spans="1:12" ht="14.25">
      <c r="A231" s="73"/>
      <c r="B231" s="73"/>
      <c r="C231" s="73" t="s">
        <v>529</v>
      </c>
      <c r="D231" s="56"/>
      <c r="E231" s="51"/>
      <c r="F231" s="51"/>
      <c r="G231" s="51"/>
      <c r="H231" s="49"/>
      <c r="I231" s="57"/>
      <c r="J231" s="49">
        <f>SUM(Q218:Q234)+SUM(V218:V234)+SUM(X218:X234)+SUM(Y218:Y234)</f>
        <v>3153.54</v>
      </c>
      <c r="K231" s="57"/>
      <c r="L231" s="49">
        <f>SUM(U218:U234)+SUM(W218:W234)+SUM(Z218:Z234)+SUM(AA218:AA234)</f>
        <v>115009.61</v>
      </c>
    </row>
    <row r="232" spans="1:12" ht="28.5">
      <c r="A232" s="73"/>
      <c r="B232" s="73" t="s">
        <v>537</v>
      </c>
      <c r="C232" s="73" t="s">
        <v>538</v>
      </c>
      <c r="D232" s="56" t="s">
        <v>531</v>
      </c>
      <c r="E232" s="51">
        <f>Source!BZ111</f>
        <v>147</v>
      </c>
      <c r="F232" s="51">
        <f>ROUND(0.9,7)</f>
        <v>0.9</v>
      </c>
      <c r="G232" s="51">
        <f>Source!AT111</f>
        <v>132.3</v>
      </c>
      <c r="H232" s="49"/>
      <c r="I232" s="57"/>
      <c r="J232" s="49">
        <f>SUM(AG218:AG234)</f>
        <v>4172.13</v>
      </c>
      <c r="K232" s="57"/>
      <c r="L232" s="49">
        <f>SUM(AH218:AH234)</f>
        <v>152157.71</v>
      </c>
    </row>
    <row r="233" spans="1:12" ht="28.5">
      <c r="A233" s="75"/>
      <c r="B233" s="75" t="s">
        <v>539</v>
      </c>
      <c r="C233" s="75" t="s">
        <v>540</v>
      </c>
      <c r="D233" s="59" t="s">
        <v>531</v>
      </c>
      <c r="E233" s="60">
        <f>Source!CA111</f>
        <v>134</v>
      </c>
      <c r="F233" s="60">
        <f>ROUND(0.85,7)</f>
        <v>0.85</v>
      </c>
      <c r="G233" s="60">
        <f>Source!AU111</f>
        <v>113.9</v>
      </c>
      <c r="H233" s="61"/>
      <c r="I233" s="62"/>
      <c r="J233" s="61">
        <f>SUM(AI218:AI234)</f>
        <v>3591.88</v>
      </c>
      <c r="K233" s="62"/>
      <c r="L233" s="61">
        <f>SUM(AJ218:AJ234)</f>
        <v>130995.95</v>
      </c>
    </row>
    <row r="234" spans="3:53" ht="15">
      <c r="C234" s="108" t="s">
        <v>533</v>
      </c>
      <c r="D234" s="108"/>
      <c r="E234" s="108"/>
      <c r="F234" s="108"/>
      <c r="G234" s="108"/>
      <c r="H234" s="108"/>
      <c r="I234" s="108">
        <f>J221+J222+J224+J232+J233+SUM(J228:J230)</f>
        <v>113872.81999999999</v>
      </c>
      <c r="J234" s="108"/>
      <c r="O234" s="47">
        <f>I234</f>
        <v>113872.81999999999</v>
      </c>
      <c r="P234">
        <f>K234</f>
        <v>0</v>
      </c>
      <c r="Q234" s="47">
        <f>J221</f>
        <v>3032.33</v>
      </c>
      <c r="R234" s="47">
        <f>J221</f>
        <v>3032.33</v>
      </c>
      <c r="U234" s="47">
        <f>L221</f>
        <v>110589.08</v>
      </c>
      <c r="X234" s="47">
        <f>J223</f>
        <v>121.21</v>
      </c>
      <c r="Z234" s="47">
        <f>L223</f>
        <v>4420.53</v>
      </c>
      <c r="AB234" s="47">
        <f>J222</f>
        <v>1225.89</v>
      </c>
      <c r="AD234" s="47">
        <f>L222</f>
        <v>0</v>
      </c>
      <c r="AF234" s="47">
        <f>J224</f>
        <v>4.52</v>
      </c>
      <c r="AN234">
        <f>IF(Source!BI111&lt;=1,J221+J222+J224+J232+J233,0)</f>
        <v>12026.75</v>
      </c>
      <c r="AO234">
        <f>IF(Source!BI111&lt;=1,J224,0)</f>
        <v>4.52</v>
      </c>
      <c r="AP234">
        <f>IF(Source!BI111&lt;=1,J222,0)</f>
        <v>1225.89</v>
      </c>
      <c r="AQ234">
        <f>IF(Source!BI111&lt;=1,J221,0)</f>
        <v>3032.33</v>
      </c>
      <c r="AX234">
        <f>IF(Source!BI111=2,J221+J222+J224+J232+J233,0)</f>
        <v>0</v>
      </c>
      <c r="AY234">
        <f>IF(Source!BI111=2,J224,0)</f>
        <v>0</v>
      </c>
      <c r="AZ234">
        <f>IF(Source!BI111=2,J222,0)</f>
        <v>0</v>
      </c>
      <c r="BA234">
        <f>IF(Source!BI111=2,J221,0)</f>
        <v>0</v>
      </c>
    </row>
    <row r="235" spans="1:56" ht="130.5">
      <c r="A235" s="73">
        <v>13</v>
      </c>
      <c r="B235" s="73" t="str">
        <f>Source!F119</f>
        <v>11-01-047-01</v>
      </c>
      <c r="C235" s="73" t="s">
        <v>587</v>
      </c>
      <c r="D235" s="56" t="str">
        <f>Source!H119</f>
        <v>100 м2</v>
      </c>
      <c r="E235" s="51">
        <f>Source!K119</f>
        <v>0.22</v>
      </c>
      <c r="F235" s="51"/>
      <c r="G235" s="51">
        <f>Source!I119</f>
        <v>0.22</v>
      </c>
      <c r="H235" s="49"/>
      <c r="I235" s="57"/>
      <c r="J235" s="49"/>
      <c r="K235" s="57"/>
      <c r="L235" s="49"/>
      <c r="AG235">
        <f>Source!X119</f>
        <v>696.76</v>
      </c>
      <c r="AH235">
        <f>Source!HK119</f>
        <v>25410.83</v>
      </c>
      <c r="AI235">
        <f>Source!Y119</f>
        <v>381.9</v>
      </c>
      <c r="AJ235">
        <f>Source!HL119</f>
        <v>13928.06</v>
      </c>
      <c r="AS235">
        <f>IF(Source!BI119&lt;=1,AH235,0)</f>
        <v>25410.83</v>
      </c>
      <c r="AT235">
        <f>IF(Source!BI119&lt;=1,AJ235,0)</f>
        <v>13928.06</v>
      </c>
      <c r="BC235">
        <f>IF(Source!BI119=2,AH235,0)</f>
        <v>0</v>
      </c>
      <c r="BD235">
        <f>IF(Source!BI119=2,AJ235,0)</f>
        <v>0</v>
      </c>
    </row>
    <row r="236" spans="2:3" ht="165.75">
      <c r="B236" s="48" t="str">
        <f>Source!EO119</f>
        <v>Поправка: М-ка 421/пр 04.08.20 п.58 п.п. б)</v>
      </c>
      <c r="C236" s="48" t="str">
        <f>Source!CN119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237" ht="12.75">
      <c r="C237" s="45" t="str">
        <f>"Объем: "&amp;Source!K119&amp;"=22/"&amp;"100"</f>
        <v>Объем: 0,22=22/100</v>
      </c>
    </row>
    <row r="238" spans="1:12" ht="14.25">
      <c r="A238" s="73"/>
      <c r="B238" s="74">
        <v>1</v>
      </c>
      <c r="C238" s="73" t="s">
        <v>522</v>
      </c>
      <c r="D238" s="56"/>
      <c r="E238" s="51"/>
      <c r="F238" s="51"/>
      <c r="G238" s="51"/>
      <c r="H238" s="49">
        <f>Source!AO119</f>
        <v>2713.07</v>
      </c>
      <c r="I238" s="57">
        <f>ROUND(1.15,7)</f>
        <v>1.15</v>
      </c>
      <c r="J238" s="49">
        <f>ROUND(Source!AF119*Source!I119,2)</f>
        <v>686.41</v>
      </c>
      <c r="K238" s="57">
        <f>IF(Source!BA119&lt;&gt;0,Source!BA119,1)</f>
        <v>36.47</v>
      </c>
      <c r="L238" s="49">
        <f>Source!HJ119</f>
        <v>25033.37</v>
      </c>
    </row>
    <row r="239" spans="1:12" ht="14.25">
      <c r="A239" s="73"/>
      <c r="B239" s="74">
        <v>3</v>
      </c>
      <c r="C239" s="73" t="s">
        <v>523</v>
      </c>
      <c r="D239" s="56"/>
      <c r="E239" s="51"/>
      <c r="F239" s="51"/>
      <c r="G239" s="51"/>
      <c r="H239" s="49">
        <f>Source!AM119</f>
        <v>24.42</v>
      </c>
      <c r="I239" s="57">
        <f>ROUND(1.25,7)</f>
        <v>1.25</v>
      </c>
      <c r="J239" s="49">
        <f>ROUND(((((Source!ET119*ROUND(1.25,7)))-((Source!EU119*ROUND(1.25,7))))+Source!AE119)*Source!I119,2)</f>
        <v>6.71</v>
      </c>
      <c r="K239" s="57"/>
      <c r="L239" s="49"/>
    </row>
    <row r="240" spans="1:12" ht="14.25">
      <c r="A240" s="73"/>
      <c r="B240" s="74">
        <v>2</v>
      </c>
      <c r="C240" s="73" t="s">
        <v>524</v>
      </c>
      <c r="D240" s="56"/>
      <c r="E240" s="51"/>
      <c r="F240" s="51"/>
      <c r="G240" s="51"/>
      <c r="H240" s="49">
        <f>Source!AN119</f>
        <v>17.53</v>
      </c>
      <c r="I240" s="57">
        <f>ROUND(1.25,7)</f>
        <v>1.25</v>
      </c>
      <c r="J240" s="58">
        <f>ROUND(Source!AE119*Source!I119,2)</f>
        <v>4.82</v>
      </c>
      <c r="K240" s="57">
        <f>IF(Source!BS119&lt;&gt;0,Source!BS119,1)</f>
        <v>36.47</v>
      </c>
      <c r="L240" s="58">
        <f>Source!HI119</f>
        <v>175.79</v>
      </c>
    </row>
    <row r="241" spans="1:12" ht="14.25">
      <c r="A241" s="73"/>
      <c r="B241" s="74">
        <v>4</v>
      </c>
      <c r="C241" s="73" t="s">
        <v>564</v>
      </c>
      <c r="D241" s="56"/>
      <c r="E241" s="51"/>
      <c r="F241" s="51"/>
      <c r="G241" s="51"/>
      <c r="H241" s="49">
        <f>Source!AL119</f>
        <v>85.74</v>
      </c>
      <c r="I241" s="57"/>
      <c r="J241" s="49">
        <f>ROUND(Source!AC119*Source!I119,2)</f>
        <v>18.86</v>
      </c>
      <c r="K241" s="57"/>
      <c r="L241" s="49"/>
    </row>
    <row r="242" spans="1:12" ht="14.25">
      <c r="A242" s="73"/>
      <c r="B242" s="73"/>
      <c r="C242" s="73" t="s">
        <v>525</v>
      </c>
      <c r="D242" s="56" t="s">
        <v>526</v>
      </c>
      <c r="E242" s="51">
        <f>Source!AQ119</f>
        <v>310.42</v>
      </c>
      <c r="F242" s="51">
        <f>ROUND(1.15,7)</f>
        <v>1.15</v>
      </c>
      <c r="G242" s="103">
        <f>ROUND(Source!U119,7)</f>
        <v>78.53626</v>
      </c>
      <c r="H242" s="49"/>
      <c r="I242" s="57"/>
      <c r="J242" s="49"/>
      <c r="K242" s="57"/>
      <c r="L242" s="49"/>
    </row>
    <row r="243" spans="1:12" ht="14.25">
      <c r="A243" s="73"/>
      <c r="B243" s="73"/>
      <c r="C243" s="75" t="s">
        <v>527</v>
      </c>
      <c r="D243" s="59" t="s">
        <v>526</v>
      </c>
      <c r="E243" s="60">
        <f>Source!AR119</f>
        <v>1.73</v>
      </c>
      <c r="F243" s="60">
        <f>ROUND(1.25,7)</f>
        <v>1.25</v>
      </c>
      <c r="G243" s="104">
        <f>ROUND(Source!V119,7)</f>
        <v>0.47575</v>
      </c>
      <c r="H243" s="61"/>
      <c r="I243" s="62"/>
      <c r="J243" s="61"/>
      <c r="K243" s="62"/>
      <c r="L243" s="61"/>
    </row>
    <row r="244" spans="1:12" ht="14.25">
      <c r="A244" s="73"/>
      <c r="B244" s="73"/>
      <c r="C244" s="73" t="s">
        <v>528</v>
      </c>
      <c r="D244" s="56"/>
      <c r="E244" s="51"/>
      <c r="F244" s="51"/>
      <c r="G244" s="51"/>
      <c r="H244" s="49">
        <f>H238+H239+H241</f>
        <v>2823.23</v>
      </c>
      <c r="I244" s="57"/>
      <c r="J244" s="49">
        <f>J238+J239+J241</f>
        <v>711.98</v>
      </c>
      <c r="K244" s="57"/>
      <c r="L244" s="49"/>
    </row>
    <row r="245" spans="1:56" ht="28.5">
      <c r="A245" s="73" t="s">
        <v>244</v>
      </c>
      <c r="B245" s="73" t="str">
        <f>Source!F121</f>
        <v>06.2.05.03-0003</v>
      </c>
      <c r="C245" s="73" t="str">
        <f>Source!G121</f>
        <v>Плитка керамогранитная, размер 400x400x9 мм</v>
      </c>
      <c r="D245" s="56" t="str">
        <f>Source!H121</f>
        <v>м2</v>
      </c>
      <c r="E245" s="51">
        <f>SmtRes!AT159</f>
        <v>105</v>
      </c>
      <c r="F245" s="51"/>
      <c r="G245" s="51">
        <f>Source!I121</f>
        <v>23.1</v>
      </c>
      <c r="H245" s="49">
        <f>Source!AL121+Source!AO121+Source!AM121</f>
        <v>140.45</v>
      </c>
      <c r="I245" s="57"/>
      <c r="J245" s="49">
        <f>ROUND(Source!AC121*Source!I121,2)+ROUND((((Source!ET121)-(Source!EU121))+Source!AE121)*Source!I121,2)+ROUND(Source!AF121*Source!I121,2)</f>
        <v>3244.4</v>
      </c>
      <c r="K245" s="57"/>
      <c r="L245" s="49"/>
      <c r="AF245" s="47">
        <f>J245</f>
        <v>3244.4</v>
      </c>
      <c r="AG245">
        <f>Source!X121</f>
        <v>0</v>
      </c>
      <c r="AH245">
        <f>Source!HK121</f>
        <v>0</v>
      </c>
      <c r="AI245">
        <f>Source!Y121</f>
        <v>0</v>
      </c>
      <c r="AJ245">
        <f>Source!HL121</f>
        <v>0</v>
      </c>
      <c r="AN245">
        <f>IF(Source!BI121&lt;=1,J245,0)</f>
        <v>3244.4</v>
      </c>
      <c r="AO245">
        <f>IF(Source!BI121&lt;=1,J245,0)</f>
        <v>3244.4</v>
      </c>
      <c r="AS245">
        <f>IF(Source!BI121&lt;=1,AH245,0)</f>
        <v>0</v>
      </c>
      <c r="AT245">
        <f>IF(Source!BI121&lt;=1,AJ245,0)</f>
        <v>0</v>
      </c>
      <c r="AX245">
        <f>IF(Source!BI121=2,J245,0)</f>
        <v>0</v>
      </c>
      <c r="AY245">
        <f>IF(Source!BI121=2,J245,0)</f>
        <v>0</v>
      </c>
      <c r="BC245">
        <f>IF(Source!BI121=2,AH245,0)</f>
        <v>0</v>
      </c>
      <c r="BD245">
        <f>IF(Source!BI121=2,AJ245,0)</f>
        <v>0</v>
      </c>
    </row>
    <row r="246" spans="1:56" ht="14.25">
      <c r="A246" s="73" t="s">
        <v>248</v>
      </c>
      <c r="B246" s="73" t="str">
        <f>Source!F123</f>
        <v>11.2.04.05-0003</v>
      </c>
      <c r="C246" s="73" t="str">
        <f>Source!G123</f>
        <v>Рейки дубовые, толщина 5-7 мм</v>
      </c>
      <c r="D246" s="56" t="str">
        <f>Source!H123</f>
        <v>м3</v>
      </c>
      <c r="E246" s="51">
        <f>SmtRes!AT160</f>
        <v>0.01</v>
      </c>
      <c r="F246" s="51"/>
      <c r="G246" s="102">
        <f>Source!I123</f>
        <v>0.0022</v>
      </c>
      <c r="H246" s="49">
        <f>Source!AL123+Source!AO123+Source!AM123</f>
        <v>65509.97</v>
      </c>
      <c r="I246" s="57"/>
      <c r="J246" s="49">
        <f>ROUND(Source!AC123*Source!I123,2)+ROUND((((Source!ET123)-(Source!EU123))+Source!AE123)*Source!I123,2)+ROUND(Source!AF123*Source!I123,2)</f>
        <v>144.12</v>
      </c>
      <c r="K246" s="57"/>
      <c r="L246" s="49"/>
      <c r="AF246" s="47">
        <f>J246</f>
        <v>144.12</v>
      </c>
      <c r="AG246">
        <f>Source!X123</f>
        <v>0</v>
      </c>
      <c r="AH246">
        <f>Source!HK123</f>
        <v>0</v>
      </c>
      <c r="AI246">
        <f>Source!Y123</f>
        <v>0</v>
      </c>
      <c r="AJ246">
        <f>Source!HL123</f>
        <v>0</v>
      </c>
      <c r="AN246">
        <f>IF(Source!BI123&lt;=1,J246,0)</f>
        <v>144.12</v>
      </c>
      <c r="AO246">
        <f>IF(Source!BI123&lt;=1,J246,0)</f>
        <v>144.12</v>
      </c>
      <c r="AS246">
        <f>IF(Source!BI123&lt;=1,AH246,0)</f>
        <v>0</v>
      </c>
      <c r="AT246">
        <f>IF(Source!BI123&lt;=1,AJ246,0)</f>
        <v>0</v>
      </c>
      <c r="AX246">
        <f>IF(Source!BI123=2,J246,0)</f>
        <v>0</v>
      </c>
      <c r="AY246">
        <f>IF(Source!BI123=2,J246,0)</f>
        <v>0</v>
      </c>
      <c r="BC246">
        <f>IF(Source!BI123=2,AH246,0)</f>
        <v>0</v>
      </c>
      <c r="BD246">
        <f>IF(Source!BI123=2,AJ246,0)</f>
        <v>0</v>
      </c>
    </row>
    <row r="247" spans="1:56" ht="14.25">
      <c r="A247" s="73" t="s">
        <v>252</v>
      </c>
      <c r="B247" s="73" t="str">
        <f>Source!F125</f>
        <v>14.1.06.02-0002</v>
      </c>
      <c r="C247" s="73" t="str">
        <f>Source!G125</f>
        <v>Клей для плитки (сухая смесь)</v>
      </c>
      <c r="D247" s="56" t="str">
        <f>Source!H125</f>
        <v>т</v>
      </c>
      <c r="E247" s="51">
        <f>SmtRes!AT161</f>
        <v>1.2</v>
      </c>
      <c r="F247" s="51"/>
      <c r="G247" s="103">
        <f>Source!I125</f>
        <v>0.264</v>
      </c>
      <c r="H247" s="49">
        <f>Source!AL125+Source!AO125+Source!AM125</f>
        <v>2919.43</v>
      </c>
      <c r="I247" s="57"/>
      <c r="J247" s="49">
        <f>ROUND(Source!AC125*Source!I125,2)+ROUND((((Source!ET125)-(Source!EU125))+Source!AE125)*Source!I125,2)+ROUND(Source!AF125*Source!I125,2)</f>
        <v>770.73</v>
      </c>
      <c r="K247" s="57"/>
      <c r="L247" s="49"/>
      <c r="AF247" s="47">
        <f>J247</f>
        <v>770.73</v>
      </c>
      <c r="AG247">
        <f>Source!X125</f>
        <v>0</v>
      </c>
      <c r="AH247">
        <f>Source!HK125</f>
        <v>0</v>
      </c>
      <c r="AI247">
        <f>Source!Y125</f>
        <v>0</v>
      </c>
      <c r="AJ247">
        <f>Source!HL125</f>
        <v>0</v>
      </c>
      <c r="AN247">
        <f>IF(Source!BI125&lt;=1,J247,0)</f>
        <v>770.73</v>
      </c>
      <c r="AO247">
        <f>IF(Source!BI125&lt;=1,J247,0)</f>
        <v>770.73</v>
      </c>
      <c r="AS247">
        <f>IF(Source!BI125&lt;=1,AH247,0)</f>
        <v>0</v>
      </c>
      <c r="AT247">
        <f>IF(Source!BI125&lt;=1,AJ247,0)</f>
        <v>0</v>
      </c>
      <c r="AX247">
        <f>IF(Source!BI125=2,J247,0)</f>
        <v>0</v>
      </c>
      <c r="AY247">
        <f>IF(Source!BI125=2,J247,0)</f>
        <v>0</v>
      </c>
      <c r="BC247">
        <f>IF(Source!BI125=2,AH247,0)</f>
        <v>0</v>
      </c>
      <c r="BD247">
        <f>IF(Source!BI125=2,AJ247,0)</f>
        <v>0</v>
      </c>
    </row>
    <row r="248" spans="1:56" ht="42.75">
      <c r="A248" s="73" t="s">
        <v>256</v>
      </c>
      <c r="B248" s="73" t="str">
        <f>Source!F127</f>
        <v>14.4.01.02-0012</v>
      </c>
      <c r="C248" s="73" t="str">
        <f>Source!G127</f>
        <v>Грунтовка укрепляющая, глубокого проникновения, быстросохнущая, паропроницаемая</v>
      </c>
      <c r="D248" s="56" t="str">
        <f>Source!H127</f>
        <v>кг</v>
      </c>
      <c r="E248" s="103">
        <f>SmtRes!AT162</f>
        <v>20.454545</v>
      </c>
      <c r="F248" s="51"/>
      <c r="G248" s="51">
        <f>Source!I127</f>
        <v>4.5</v>
      </c>
      <c r="H248" s="49">
        <f>Source!AL127+Source!AO127+Source!AM127</f>
        <v>13.08</v>
      </c>
      <c r="I248" s="57"/>
      <c r="J248" s="49">
        <f>ROUND(Source!AC127*Source!I127,2)+ROUND((((Source!ET127)-(Source!EU127))+Source!AE127)*Source!I127,2)+ROUND(Source!AF127*Source!I127,2)</f>
        <v>58.86</v>
      </c>
      <c r="K248" s="57"/>
      <c r="L248" s="49"/>
      <c r="AF248" s="47">
        <f>J248</f>
        <v>58.86</v>
      </c>
      <c r="AG248">
        <f>Source!X127</f>
        <v>0</v>
      </c>
      <c r="AH248">
        <f>Source!HK127</f>
        <v>0</v>
      </c>
      <c r="AI248">
        <f>Source!Y127</f>
        <v>0</v>
      </c>
      <c r="AJ248">
        <f>Source!HL127</f>
        <v>0</v>
      </c>
      <c r="AN248">
        <f>IF(Source!BI127&lt;=1,J248,0)</f>
        <v>58.86</v>
      </c>
      <c r="AO248">
        <f>IF(Source!BI127&lt;=1,J248,0)</f>
        <v>58.86</v>
      </c>
      <c r="AS248">
        <f>IF(Source!BI127&lt;=1,AH248,0)</f>
        <v>0</v>
      </c>
      <c r="AT248">
        <f>IF(Source!BI127&lt;=1,AJ248,0)</f>
        <v>0</v>
      </c>
      <c r="AX248">
        <f>IF(Source!BI127=2,J248,0)</f>
        <v>0</v>
      </c>
      <c r="AY248">
        <f>IF(Source!BI127=2,J248,0)</f>
        <v>0</v>
      </c>
      <c r="BC248">
        <f>IF(Source!BI127=2,AH248,0)</f>
        <v>0</v>
      </c>
      <c r="BD248">
        <f>IF(Source!BI127=2,AJ248,0)</f>
        <v>0</v>
      </c>
    </row>
    <row r="249" spans="1:12" ht="14.25">
      <c r="A249" s="73"/>
      <c r="B249" s="73"/>
      <c r="C249" s="73" t="s">
        <v>529</v>
      </c>
      <c r="D249" s="56"/>
      <c r="E249" s="51"/>
      <c r="F249" s="51"/>
      <c r="G249" s="51"/>
      <c r="H249" s="49"/>
      <c r="I249" s="57"/>
      <c r="J249" s="49">
        <f>SUM(Q235:Q252)+SUM(V235:V252)+SUM(X235:X252)+SUM(Y235:Y252)</f>
        <v>691.23</v>
      </c>
      <c r="K249" s="57"/>
      <c r="L249" s="49">
        <f>SUM(U235:U252)+SUM(W235:W252)+SUM(Z235:Z252)+SUM(AA235:AA252)</f>
        <v>25209.16</v>
      </c>
    </row>
    <row r="250" spans="1:12" ht="28.5">
      <c r="A250" s="73"/>
      <c r="B250" s="73" t="s">
        <v>572</v>
      </c>
      <c r="C250" s="73" t="s">
        <v>530</v>
      </c>
      <c r="D250" s="56" t="s">
        <v>531</v>
      </c>
      <c r="E250" s="51">
        <f>Source!BZ119</f>
        <v>112</v>
      </c>
      <c r="F250" s="51">
        <f>ROUND(0.9,7)</f>
        <v>0.9</v>
      </c>
      <c r="G250" s="51">
        <f>Source!AT119</f>
        <v>100.8</v>
      </c>
      <c r="H250" s="49"/>
      <c r="I250" s="57"/>
      <c r="J250" s="49">
        <f>SUM(AG235:AG252)</f>
        <v>696.76</v>
      </c>
      <c r="K250" s="57"/>
      <c r="L250" s="49">
        <f>SUM(AH235:AH252)</f>
        <v>25410.83</v>
      </c>
    </row>
    <row r="251" spans="1:12" ht="28.5">
      <c r="A251" s="75"/>
      <c r="B251" s="75" t="s">
        <v>573</v>
      </c>
      <c r="C251" s="75" t="s">
        <v>532</v>
      </c>
      <c r="D251" s="59" t="s">
        <v>531</v>
      </c>
      <c r="E251" s="60">
        <f>Source!CA119</f>
        <v>65</v>
      </c>
      <c r="F251" s="60">
        <f>ROUND(0.85,7)</f>
        <v>0.85</v>
      </c>
      <c r="G251" s="60">
        <f>Source!AU119</f>
        <v>55.25</v>
      </c>
      <c r="H251" s="61"/>
      <c r="I251" s="62"/>
      <c r="J251" s="61">
        <f>SUM(AI235:AI252)</f>
        <v>381.9</v>
      </c>
      <c r="K251" s="62"/>
      <c r="L251" s="61">
        <f>SUM(AJ235:AJ252)</f>
        <v>13928.06</v>
      </c>
    </row>
    <row r="252" spans="3:53" ht="15">
      <c r="C252" s="108" t="s">
        <v>533</v>
      </c>
      <c r="D252" s="108"/>
      <c r="E252" s="108"/>
      <c r="F252" s="108"/>
      <c r="G252" s="108"/>
      <c r="H252" s="108"/>
      <c r="I252" s="108">
        <f>J238+J239+J241+J250+J251+SUM(J245:J248)</f>
        <v>6008.75</v>
      </c>
      <c r="J252" s="108"/>
      <c r="O252" s="47">
        <f>I252</f>
        <v>6008.75</v>
      </c>
      <c r="P252">
        <f>K252</f>
        <v>0</v>
      </c>
      <c r="Q252" s="47">
        <f>J238</f>
        <v>686.41</v>
      </c>
      <c r="R252" s="47">
        <f>J238</f>
        <v>686.41</v>
      </c>
      <c r="U252" s="47">
        <f>L238</f>
        <v>25033.37</v>
      </c>
      <c r="X252" s="47">
        <f>J240</f>
        <v>4.82</v>
      </c>
      <c r="Z252" s="47">
        <f>L240</f>
        <v>175.79</v>
      </c>
      <c r="AB252" s="47">
        <f>J239</f>
        <v>6.71</v>
      </c>
      <c r="AD252" s="47">
        <f>L239</f>
        <v>0</v>
      </c>
      <c r="AF252" s="47">
        <f>J241</f>
        <v>18.86</v>
      </c>
      <c r="AN252">
        <f>IF(Source!BI119&lt;=1,J238+J239+J241+J250+J251,0)</f>
        <v>1790.6399999999999</v>
      </c>
      <c r="AO252">
        <f>IF(Source!BI119&lt;=1,J241,0)</f>
        <v>18.86</v>
      </c>
      <c r="AP252">
        <f>IF(Source!BI119&lt;=1,J239,0)</f>
        <v>6.71</v>
      </c>
      <c r="AQ252">
        <f>IF(Source!BI119&lt;=1,J238,0)</f>
        <v>686.41</v>
      </c>
      <c r="AX252">
        <f>IF(Source!BI119=2,J238+J239+J241+J250+J251,0)</f>
        <v>0</v>
      </c>
      <c r="AY252">
        <f>IF(Source!BI119=2,J241,0)</f>
        <v>0</v>
      </c>
      <c r="AZ252">
        <f>IF(Source!BI119=2,J239,0)</f>
        <v>0</v>
      </c>
      <c r="BA252">
        <f>IF(Source!BI119=2,J238,0)</f>
        <v>0</v>
      </c>
    </row>
    <row r="254" spans="1:95" ht="15">
      <c r="A254" s="65"/>
      <c r="B254" s="66"/>
      <c r="C254" s="107" t="s">
        <v>541</v>
      </c>
      <c r="D254" s="107"/>
      <c r="E254" s="107"/>
      <c r="F254" s="107"/>
      <c r="G254" s="107"/>
      <c r="H254" s="107"/>
      <c r="I254" s="67"/>
      <c r="J254" s="68">
        <f>J256+J257+J258+J259</f>
        <v>142414.78999999998</v>
      </c>
      <c r="K254" s="68"/>
      <c r="L254" s="68"/>
      <c r="CQ254" s="78" t="s">
        <v>541</v>
      </c>
    </row>
    <row r="255" spans="1:12" ht="14.25">
      <c r="A255" s="69"/>
      <c r="B255" s="70"/>
      <c r="C255" s="106" t="s">
        <v>542</v>
      </c>
      <c r="D255" s="105"/>
      <c r="E255" s="105"/>
      <c r="F255" s="105"/>
      <c r="G255" s="105"/>
      <c r="H255" s="105"/>
      <c r="I255" s="71"/>
      <c r="J255" s="72"/>
      <c r="K255" s="72"/>
      <c r="L255" s="72"/>
    </row>
    <row r="256" spans="1:12" ht="14.25">
      <c r="A256" s="69"/>
      <c r="B256" s="70"/>
      <c r="C256" s="105" t="s">
        <v>543</v>
      </c>
      <c r="D256" s="105"/>
      <c r="E256" s="105"/>
      <c r="F256" s="105"/>
      <c r="G256" s="105"/>
      <c r="H256" s="105"/>
      <c r="I256" s="71"/>
      <c r="J256" s="72">
        <f>SUM(Q114:Q252)</f>
        <v>7949.5</v>
      </c>
      <c r="K256" s="72"/>
      <c r="L256" s="72"/>
    </row>
    <row r="257" spans="1:12" ht="14.25">
      <c r="A257" s="69"/>
      <c r="B257" s="70"/>
      <c r="C257" s="105" t="s">
        <v>544</v>
      </c>
      <c r="D257" s="105"/>
      <c r="E257" s="105"/>
      <c r="F257" s="105"/>
      <c r="G257" s="105"/>
      <c r="H257" s="105"/>
      <c r="I257" s="71"/>
      <c r="J257" s="72">
        <f>SUM(AB114:AB252)</f>
        <v>1840.46</v>
      </c>
      <c r="K257" s="72"/>
      <c r="L257" s="72"/>
    </row>
    <row r="258" spans="1:12" ht="14.25">
      <c r="A258" s="69"/>
      <c r="B258" s="70"/>
      <c r="C258" s="105" t="s">
        <v>545</v>
      </c>
      <c r="D258" s="105"/>
      <c r="E258" s="105"/>
      <c r="F258" s="105"/>
      <c r="G258" s="105"/>
      <c r="H258" s="105"/>
      <c r="I258" s="71"/>
      <c r="J258" s="72">
        <f>Source!F132-J263</f>
        <v>132624.83</v>
      </c>
      <c r="K258" s="72"/>
      <c r="L258" s="72"/>
    </row>
    <row r="259" spans="1:12" ht="13.5" customHeight="1" hidden="1">
      <c r="A259" s="69"/>
      <c r="B259" s="70"/>
      <c r="C259" s="105" t="s">
        <v>546</v>
      </c>
      <c r="D259" s="105"/>
      <c r="E259" s="105"/>
      <c r="F259" s="105"/>
      <c r="G259" s="105"/>
      <c r="H259" s="105"/>
      <c r="I259" s="71"/>
      <c r="J259" s="72">
        <f>Source!F154</f>
        <v>0</v>
      </c>
      <c r="K259" s="72"/>
      <c r="L259" s="72"/>
    </row>
    <row r="260" spans="1:12" ht="14.25">
      <c r="A260" s="69"/>
      <c r="B260" s="70"/>
      <c r="C260" s="105" t="s">
        <v>547</v>
      </c>
      <c r="D260" s="105"/>
      <c r="E260" s="105"/>
      <c r="F260" s="105"/>
      <c r="G260" s="105"/>
      <c r="H260" s="105"/>
      <c r="I260" s="71"/>
      <c r="J260" s="72">
        <f>SUM(Q114:Q252)+SUM(X114:X252)</f>
        <v>8254.52</v>
      </c>
      <c r="K260" s="72"/>
      <c r="L260" s="72"/>
    </row>
    <row r="261" spans="1:12" ht="14.25">
      <c r="A261" s="69"/>
      <c r="B261" s="70"/>
      <c r="C261" s="105" t="s">
        <v>548</v>
      </c>
      <c r="D261" s="105"/>
      <c r="E261" s="105"/>
      <c r="F261" s="105"/>
      <c r="G261" s="105"/>
      <c r="H261" s="105"/>
      <c r="I261" s="71"/>
      <c r="J261" s="72">
        <f>Source!F155</f>
        <v>9425.43</v>
      </c>
      <c r="K261" s="72"/>
      <c r="L261" s="72"/>
    </row>
    <row r="262" spans="1:12" ht="14.25">
      <c r="A262" s="69"/>
      <c r="B262" s="70"/>
      <c r="C262" s="105" t="s">
        <v>549</v>
      </c>
      <c r="D262" s="105"/>
      <c r="E262" s="105"/>
      <c r="F262" s="105"/>
      <c r="G262" s="105"/>
      <c r="H262" s="105"/>
      <c r="I262" s="71"/>
      <c r="J262" s="72">
        <f>Source!F156</f>
        <v>6706.67</v>
      </c>
      <c r="K262" s="72"/>
      <c r="L262" s="72"/>
    </row>
    <row r="263" spans="1:12" ht="13.5" customHeight="1" hidden="1">
      <c r="A263" s="69"/>
      <c r="B263" s="70"/>
      <c r="C263" s="105" t="s">
        <v>550</v>
      </c>
      <c r="D263" s="105"/>
      <c r="E263" s="105"/>
      <c r="F263" s="105"/>
      <c r="G263" s="105"/>
      <c r="H263" s="105"/>
      <c r="I263" s="71"/>
      <c r="J263" s="72">
        <f>Source!F138</f>
        <v>0</v>
      </c>
      <c r="K263" s="72"/>
      <c r="L263" s="72"/>
    </row>
    <row r="264" spans="1:12" ht="13.5" customHeight="1" hidden="1">
      <c r="A264" s="69"/>
      <c r="B264" s="70"/>
      <c r="C264" s="105" t="s">
        <v>551</v>
      </c>
      <c r="D264" s="105"/>
      <c r="E264" s="105"/>
      <c r="F264" s="105"/>
      <c r="G264" s="105"/>
      <c r="H264" s="105"/>
      <c r="I264" s="71"/>
      <c r="J264" s="72">
        <f>Source!F148</f>
        <v>0</v>
      </c>
      <c r="K264" s="72"/>
      <c r="L264" s="72"/>
    </row>
    <row r="265" spans="1:12" ht="15">
      <c r="A265" s="65"/>
      <c r="B265" s="66"/>
      <c r="C265" s="107" t="s">
        <v>552</v>
      </c>
      <c r="D265" s="107"/>
      <c r="E265" s="107"/>
      <c r="F265" s="107"/>
      <c r="G265" s="107"/>
      <c r="H265" s="107"/>
      <c r="I265" s="67"/>
      <c r="J265" s="68">
        <f>Source!F157</f>
        <v>158546.89</v>
      </c>
      <c r="K265" s="68"/>
      <c r="L265" s="68"/>
    </row>
    <row r="266" spans="1:12" ht="13.5" customHeight="1" hidden="1">
      <c r="A266" s="69"/>
      <c r="B266" s="70"/>
      <c r="C266" s="106" t="s">
        <v>542</v>
      </c>
      <c r="D266" s="105"/>
      <c r="E266" s="105"/>
      <c r="F266" s="105"/>
      <c r="G266" s="105"/>
      <c r="H266" s="105"/>
      <c r="I266" s="71"/>
      <c r="J266" s="72"/>
      <c r="K266" s="72"/>
      <c r="L266" s="72"/>
    </row>
    <row r="267" spans="1:12" ht="13.5" customHeight="1" hidden="1">
      <c r="A267" s="69"/>
      <c r="B267" s="70"/>
      <c r="C267" s="105" t="s">
        <v>553</v>
      </c>
      <c r="D267" s="105"/>
      <c r="E267" s="105"/>
      <c r="F267" s="105"/>
      <c r="G267" s="105"/>
      <c r="H267" s="105"/>
      <c r="I267" s="71"/>
      <c r="J267" s="72"/>
      <c r="K267" s="72"/>
      <c r="L267" s="72">
        <f>SUM(BS114:BS252)</f>
        <v>0</v>
      </c>
    </row>
    <row r="268" spans="1:12" ht="13.5" customHeight="1" hidden="1">
      <c r="A268" s="69"/>
      <c r="B268" s="70"/>
      <c r="C268" s="105" t="s">
        <v>554</v>
      </c>
      <c r="D268" s="105"/>
      <c r="E268" s="105"/>
      <c r="F268" s="105"/>
      <c r="G268" s="105"/>
      <c r="H268" s="105"/>
      <c r="I268" s="71"/>
      <c r="J268" s="72"/>
      <c r="K268" s="72"/>
      <c r="L268" s="72">
        <f>SUM(BT114:BT252)</f>
        <v>0</v>
      </c>
    </row>
    <row r="269" spans="3:10" ht="14.25">
      <c r="C269" s="113" t="str">
        <f>Source!H158</f>
        <v>итого по разделу</v>
      </c>
      <c r="D269" s="113"/>
      <c r="E269" s="113"/>
      <c r="F269" s="113"/>
      <c r="G269" s="113"/>
      <c r="H269" s="113"/>
      <c r="I269" s="113"/>
      <c r="J269" s="49">
        <f>IF(Source!Z158=0,"",Source!Z158)</f>
        <v>158546.89</v>
      </c>
    </row>
    <row r="271" spans="1:12" ht="16.5">
      <c r="A271" s="109" t="s">
        <v>588</v>
      </c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1:56" ht="42.75">
      <c r="A272" s="73">
        <v>14</v>
      </c>
      <c r="B272" s="73" t="str">
        <f>Source!F165</f>
        <v>т01-01-01-041</v>
      </c>
      <c r="C272" s="73" t="str">
        <f>Source!G165</f>
        <v>Погрузочные работы при автомобильных перевозках мусора строительного с погрузкой вручную</v>
      </c>
      <c r="D272" s="56" t="str">
        <f>Source!H165</f>
        <v>1 Т ГРУЗА</v>
      </c>
      <c r="E272" s="51">
        <f>Source!K165</f>
        <v>17.78</v>
      </c>
      <c r="F272" s="51"/>
      <c r="G272" s="51">
        <f>Source!I165</f>
        <v>17.78</v>
      </c>
      <c r="H272" s="49">
        <f>Source!AK165</f>
        <v>42.98</v>
      </c>
      <c r="I272" s="57"/>
      <c r="J272" s="49">
        <f>ROUND(Source!AB165*Source!I165,2)</f>
        <v>764.18</v>
      </c>
      <c r="K272" s="57"/>
      <c r="L272" s="49"/>
      <c r="AG272">
        <f>Source!X165</f>
        <v>0</v>
      </c>
      <c r="AH272">
        <f>Source!HK165</f>
        <v>0</v>
      </c>
      <c r="AI272">
        <f>Source!Y165</f>
        <v>0</v>
      </c>
      <c r="AJ272">
        <f>Source!HL165</f>
        <v>0</v>
      </c>
      <c r="AS272">
        <f>IF(Source!BI165&lt;=1,AH272,0)</f>
        <v>0</v>
      </c>
      <c r="AT272">
        <f>IF(Source!BI165&lt;=1,AJ272,0)</f>
        <v>0</v>
      </c>
      <c r="BC272">
        <f>IF(Source!BI165=2,AH272,0)</f>
        <v>0</v>
      </c>
      <c r="BD272">
        <f>IF(Source!BI165=2,AJ272,0)</f>
        <v>0</v>
      </c>
    </row>
    <row r="273" spans="1:12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</row>
    <row r="274" spans="3:61" ht="15">
      <c r="C274" s="108" t="s">
        <v>533</v>
      </c>
      <c r="D274" s="108"/>
      <c r="E274" s="108"/>
      <c r="F274" s="108"/>
      <c r="G274" s="108"/>
      <c r="H274" s="108"/>
      <c r="I274" s="108">
        <f>J272</f>
        <v>764.18</v>
      </c>
      <c r="J274" s="108"/>
      <c r="O274" s="47">
        <f>I274</f>
        <v>764.18</v>
      </c>
      <c r="P274">
        <f>K274</f>
        <v>0</v>
      </c>
      <c r="R274">
        <f>0</f>
        <v>0</v>
      </c>
      <c r="V274">
        <f>0</f>
        <v>0</v>
      </c>
      <c r="W274">
        <f>0</f>
        <v>0</v>
      </c>
      <c r="Y274">
        <f>0</f>
        <v>0</v>
      </c>
      <c r="AA274">
        <f>0</f>
        <v>0</v>
      </c>
      <c r="AC274">
        <f>0</f>
        <v>0</v>
      </c>
      <c r="AE274">
        <f>0</f>
        <v>0</v>
      </c>
      <c r="AF274">
        <f>0</f>
        <v>0</v>
      </c>
      <c r="AO274">
        <f>IF(Source!BI165&lt;=1,0,0)</f>
        <v>0</v>
      </c>
      <c r="AR274">
        <f>IF(Source!BI165&lt;=1,J272,0)</f>
        <v>764.18</v>
      </c>
      <c r="AY274">
        <f>IF(Source!BI165=2,0,0)</f>
        <v>0</v>
      </c>
      <c r="BB274">
        <f>IF(Source!BI165=2,J272,0)</f>
        <v>0</v>
      </c>
      <c r="BI274">
        <f>IF(Source!BI165=3,J272,0)</f>
        <v>0</v>
      </c>
    </row>
    <row r="275" spans="1:56" ht="57">
      <c r="A275" s="73">
        <v>15</v>
      </c>
      <c r="B275" s="73" t="str">
        <f>Source!F167</f>
        <v>т03-01-01-061</v>
      </c>
      <c r="C275" s="73" t="str">
        <f>Source!G167</f>
        <v>Перевозка грузов I класса автомобилями бортовыми грузоподъемностью до 15 т на расстояние: до 61 км</v>
      </c>
      <c r="D275" s="56" t="str">
        <f>Source!H167</f>
        <v>1 Т ГРУЗА</v>
      </c>
      <c r="E275" s="51">
        <f>Source!K167</f>
        <v>17.78</v>
      </c>
      <c r="F275" s="51"/>
      <c r="G275" s="51">
        <f>Source!I167</f>
        <v>17.78</v>
      </c>
      <c r="H275" s="49">
        <f>Source!AK167</f>
        <v>26.69</v>
      </c>
      <c r="I275" s="57"/>
      <c r="J275" s="49">
        <f>ROUND(Source!AB167*Source!I167,2)</f>
        <v>474.55</v>
      </c>
      <c r="K275" s="57"/>
      <c r="L275" s="49"/>
      <c r="AG275">
        <f>Source!X167</f>
        <v>0</v>
      </c>
      <c r="AH275">
        <f>Source!HK167</f>
        <v>0</v>
      </c>
      <c r="AI275">
        <f>Source!Y167</f>
        <v>0</v>
      </c>
      <c r="AJ275">
        <f>Source!HL167</f>
        <v>0</v>
      </c>
      <c r="AS275">
        <f>IF(Source!BI167&lt;=1,AH275,0)</f>
        <v>0</v>
      </c>
      <c r="AT275">
        <f>IF(Source!BI167&lt;=1,AJ275,0)</f>
        <v>0</v>
      </c>
      <c r="BC275">
        <f>IF(Source!BI167=2,AH275,0)</f>
        <v>0</v>
      </c>
      <c r="BD275">
        <f>IF(Source!BI167=2,AJ275,0)</f>
        <v>0</v>
      </c>
    </row>
    <row r="276" spans="1:12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</row>
    <row r="277" spans="3:61" ht="15">
      <c r="C277" s="108" t="s">
        <v>533</v>
      </c>
      <c r="D277" s="108"/>
      <c r="E277" s="108"/>
      <c r="F277" s="108"/>
      <c r="G277" s="108"/>
      <c r="H277" s="108"/>
      <c r="I277" s="108">
        <f>J275</f>
        <v>474.55</v>
      </c>
      <c r="J277" s="108"/>
      <c r="O277" s="47">
        <f>I277</f>
        <v>474.55</v>
      </c>
      <c r="P277">
        <f>K277</f>
        <v>0</v>
      </c>
      <c r="R277">
        <f>0</f>
        <v>0</v>
      </c>
      <c r="V277">
        <f>0</f>
        <v>0</v>
      </c>
      <c r="W277">
        <f>0</f>
        <v>0</v>
      </c>
      <c r="Y277">
        <f>0</f>
        <v>0</v>
      </c>
      <c r="AA277">
        <f>0</f>
        <v>0</v>
      </c>
      <c r="AC277">
        <f>0</f>
        <v>0</v>
      </c>
      <c r="AE277">
        <f>0</f>
        <v>0</v>
      </c>
      <c r="AF277">
        <f>0</f>
        <v>0</v>
      </c>
      <c r="AO277">
        <f>IF(Source!BI167&lt;=1,0,0)</f>
        <v>0</v>
      </c>
      <c r="AR277">
        <f>IF(Source!BI167&lt;=1,J275,0)</f>
        <v>474.55</v>
      </c>
      <c r="AY277">
        <f>IF(Source!BI167=2,0,0)</f>
        <v>0</v>
      </c>
      <c r="BB277">
        <f>IF(Source!BI167=2,J275,0)</f>
        <v>0</v>
      </c>
      <c r="BI277">
        <f>IF(Source!BI167=3,J275,0)</f>
        <v>0</v>
      </c>
    </row>
    <row r="279" spans="1:95" ht="15">
      <c r="A279" s="65"/>
      <c r="B279" s="66"/>
      <c r="C279" s="107" t="s">
        <v>541</v>
      </c>
      <c r="D279" s="107"/>
      <c r="E279" s="107"/>
      <c r="F279" s="107"/>
      <c r="G279" s="107"/>
      <c r="H279" s="107"/>
      <c r="I279" s="67"/>
      <c r="J279" s="68">
        <f>J281+J282+J283+J284</f>
        <v>1238.73</v>
      </c>
      <c r="K279" s="68"/>
      <c r="L279" s="68"/>
      <c r="CQ279" s="78" t="s">
        <v>541</v>
      </c>
    </row>
    <row r="280" spans="1:12" ht="14.25">
      <c r="A280" s="69"/>
      <c r="B280" s="70"/>
      <c r="C280" s="106" t="s">
        <v>542</v>
      </c>
      <c r="D280" s="105"/>
      <c r="E280" s="105"/>
      <c r="F280" s="105"/>
      <c r="G280" s="105"/>
      <c r="H280" s="105"/>
      <c r="I280" s="71"/>
      <c r="J280" s="72"/>
      <c r="K280" s="72"/>
      <c r="L280" s="72"/>
    </row>
    <row r="281" spans="1:12" ht="13.5" customHeight="1" hidden="1">
      <c r="A281" s="69"/>
      <c r="B281" s="70"/>
      <c r="C281" s="105" t="s">
        <v>543</v>
      </c>
      <c r="D281" s="105"/>
      <c r="E281" s="105"/>
      <c r="F281" s="105"/>
      <c r="G281" s="105"/>
      <c r="H281" s="105"/>
      <c r="I281" s="71"/>
      <c r="J281" s="72">
        <f>SUM(Q271:Q277)</f>
        <v>0</v>
      </c>
      <c r="K281" s="72"/>
      <c r="L281" s="72"/>
    </row>
    <row r="282" spans="1:12" ht="13.5" customHeight="1" hidden="1">
      <c r="A282" s="69"/>
      <c r="B282" s="70"/>
      <c r="C282" s="105" t="s">
        <v>544</v>
      </c>
      <c r="D282" s="105"/>
      <c r="E282" s="105"/>
      <c r="F282" s="105"/>
      <c r="G282" s="105"/>
      <c r="H282" s="105"/>
      <c r="I282" s="71"/>
      <c r="J282" s="72">
        <f>SUM(AB271:AB277)</f>
        <v>0</v>
      </c>
      <c r="K282" s="72"/>
      <c r="L282" s="72"/>
    </row>
    <row r="283" spans="1:12" ht="13.5" customHeight="1" hidden="1">
      <c r="A283" s="69"/>
      <c r="B283" s="70"/>
      <c r="C283" s="105" t="s">
        <v>545</v>
      </c>
      <c r="D283" s="105"/>
      <c r="E283" s="105"/>
      <c r="F283" s="105"/>
      <c r="G283" s="105"/>
      <c r="H283" s="105"/>
      <c r="I283" s="71"/>
      <c r="J283" s="72">
        <f>Source!F172-J288</f>
        <v>0</v>
      </c>
      <c r="K283" s="72"/>
      <c r="L283" s="72"/>
    </row>
    <row r="284" spans="1:12" ht="14.25">
      <c r="A284" s="69"/>
      <c r="B284" s="70"/>
      <c r="C284" s="105" t="s">
        <v>546</v>
      </c>
      <c r="D284" s="105"/>
      <c r="E284" s="105"/>
      <c r="F284" s="105"/>
      <c r="G284" s="105"/>
      <c r="H284" s="105"/>
      <c r="I284" s="71"/>
      <c r="J284" s="72">
        <f>Source!F194</f>
        <v>1238.73</v>
      </c>
      <c r="K284" s="72"/>
      <c r="L284" s="72"/>
    </row>
    <row r="285" spans="1:12" ht="13.5" customHeight="1" hidden="1">
      <c r="A285" s="69"/>
      <c r="B285" s="70"/>
      <c r="C285" s="105" t="s">
        <v>547</v>
      </c>
      <c r="D285" s="105"/>
      <c r="E285" s="105"/>
      <c r="F285" s="105"/>
      <c r="G285" s="105"/>
      <c r="H285" s="105"/>
      <c r="I285" s="71"/>
      <c r="J285" s="72">
        <f>SUM(Q271:Q277)+SUM(X271:X277)</f>
        <v>0</v>
      </c>
      <c r="K285" s="72"/>
      <c r="L285" s="72"/>
    </row>
    <row r="286" spans="1:12" ht="13.5" customHeight="1" hidden="1">
      <c r="A286" s="69"/>
      <c r="B286" s="70"/>
      <c r="C286" s="105" t="s">
        <v>548</v>
      </c>
      <c r="D286" s="105"/>
      <c r="E286" s="105"/>
      <c r="F286" s="105"/>
      <c r="G286" s="105"/>
      <c r="H286" s="105"/>
      <c r="I286" s="71"/>
      <c r="J286" s="72">
        <f>Source!F195</f>
        <v>0</v>
      </c>
      <c r="K286" s="72"/>
      <c r="L286" s="72"/>
    </row>
    <row r="287" spans="1:12" ht="13.5" customHeight="1" hidden="1">
      <c r="A287" s="69"/>
      <c r="B287" s="70"/>
      <c r="C287" s="105" t="s">
        <v>549</v>
      </c>
      <c r="D287" s="105"/>
      <c r="E287" s="105"/>
      <c r="F287" s="105"/>
      <c r="G287" s="105"/>
      <c r="H287" s="105"/>
      <c r="I287" s="71"/>
      <c r="J287" s="72">
        <f>Source!F196</f>
        <v>0</v>
      </c>
      <c r="K287" s="72"/>
      <c r="L287" s="72"/>
    </row>
    <row r="288" spans="1:12" ht="13.5" customHeight="1" hidden="1">
      <c r="A288" s="69"/>
      <c r="B288" s="70"/>
      <c r="C288" s="105" t="s">
        <v>550</v>
      </c>
      <c r="D288" s="105"/>
      <c r="E288" s="105"/>
      <c r="F288" s="105"/>
      <c r="G288" s="105"/>
      <c r="H288" s="105"/>
      <c r="I288" s="71"/>
      <c r="J288" s="72">
        <f>Source!F178</f>
        <v>0</v>
      </c>
      <c r="K288" s="72"/>
      <c r="L288" s="72"/>
    </row>
    <row r="289" spans="1:12" ht="13.5" customHeight="1" hidden="1">
      <c r="A289" s="69"/>
      <c r="B289" s="70"/>
      <c r="C289" s="105" t="s">
        <v>551</v>
      </c>
      <c r="D289" s="105"/>
      <c r="E289" s="105"/>
      <c r="F289" s="105"/>
      <c r="G289" s="105"/>
      <c r="H289" s="105"/>
      <c r="I289" s="71"/>
      <c r="J289" s="72">
        <f>Source!F188</f>
        <v>0</v>
      </c>
      <c r="K289" s="72"/>
      <c r="L289" s="72"/>
    </row>
    <row r="290" spans="1:12" ht="15">
      <c r="A290" s="65"/>
      <c r="B290" s="66"/>
      <c r="C290" s="107" t="s">
        <v>552</v>
      </c>
      <c r="D290" s="107"/>
      <c r="E290" s="107"/>
      <c r="F290" s="107"/>
      <c r="G290" s="107"/>
      <c r="H290" s="107"/>
      <c r="I290" s="67"/>
      <c r="J290" s="68">
        <f>Source!F197</f>
        <v>1238.73</v>
      </c>
      <c r="K290" s="68"/>
      <c r="L290" s="68"/>
    </row>
    <row r="291" spans="1:12" ht="13.5" customHeight="1" hidden="1">
      <c r="A291" s="69"/>
      <c r="B291" s="70"/>
      <c r="C291" s="106" t="s">
        <v>542</v>
      </c>
      <c r="D291" s="105"/>
      <c r="E291" s="105"/>
      <c r="F291" s="105"/>
      <c r="G291" s="105"/>
      <c r="H291" s="105"/>
      <c r="I291" s="71"/>
      <c r="J291" s="72"/>
      <c r="K291" s="72"/>
      <c r="L291" s="72"/>
    </row>
    <row r="292" spans="1:12" ht="13.5" customHeight="1" hidden="1">
      <c r="A292" s="69"/>
      <c r="B292" s="70"/>
      <c r="C292" s="105" t="s">
        <v>553</v>
      </c>
      <c r="D292" s="105"/>
      <c r="E292" s="105"/>
      <c r="F292" s="105"/>
      <c r="G292" s="105"/>
      <c r="H292" s="105"/>
      <c r="I292" s="71"/>
      <c r="J292" s="72"/>
      <c r="K292" s="72"/>
      <c r="L292" s="72">
        <f>SUM(BS271:BS277)</f>
        <v>0</v>
      </c>
    </row>
    <row r="293" spans="1:12" ht="13.5" customHeight="1" hidden="1">
      <c r="A293" s="69"/>
      <c r="B293" s="70"/>
      <c r="C293" s="105" t="s">
        <v>554</v>
      </c>
      <c r="D293" s="105"/>
      <c r="E293" s="105"/>
      <c r="F293" s="105"/>
      <c r="G293" s="105"/>
      <c r="H293" s="105"/>
      <c r="I293" s="71"/>
      <c r="J293" s="72"/>
      <c r="K293" s="72"/>
      <c r="L293" s="72">
        <f>SUM(BT271:BT277)</f>
        <v>0</v>
      </c>
    </row>
    <row r="294" spans="3:10" ht="14.25">
      <c r="C294" s="113" t="str">
        <f>Source!H198</f>
        <v>итого по разделу</v>
      </c>
      <c r="D294" s="113"/>
      <c r="E294" s="113"/>
      <c r="F294" s="113"/>
      <c r="G294" s="113"/>
      <c r="H294" s="113"/>
      <c r="I294" s="113"/>
      <c r="J294" s="49">
        <f>IF(Source!Z198=0,"",Source!Z198)</f>
        <v>1238.73</v>
      </c>
    </row>
    <row r="296" spans="1:12" ht="15">
      <c r="A296" s="65"/>
      <c r="B296" s="66"/>
      <c r="C296" s="107" t="s">
        <v>589</v>
      </c>
      <c r="D296" s="107"/>
      <c r="E296" s="107"/>
      <c r="F296" s="107"/>
      <c r="G296" s="107"/>
      <c r="H296" s="107"/>
      <c r="I296" s="67"/>
      <c r="J296" s="68"/>
      <c r="K296" s="68"/>
      <c r="L296" s="68"/>
    </row>
    <row r="297" spans="1:12" ht="15">
      <c r="A297" s="65"/>
      <c r="B297" s="66"/>
      <c r="C297" s="107" t="s">
        <v>590</v>
      </c>
      <c r="D297" s="107"/>
      <c r="E297" s="107"/>
      <c r="F297" s="107"/>
      <c r="G297" s="107"/>
      <c r="H297" s="107"/>
      <c r="I297" s="67"/>
      <c r="J297" s="68">
        <f>J299+J300+J301+J302</f>
        <v>144593.48</v>
      </c>
      <c r="K297" s="68"/>
      <c r="L297" s="68">
        <f>L299+L300+L301+L302</f>
        <v>1266177.06</v>
      </c>
    </row>
    <row r="298" spans="1:12" ht="14.25">
      <c r="A298" s="69"/>
      <c r="B298" s="70"/>
      <c r="C298" s="106" t="s">
        <v>542</v>
      </c>
      <c r="D298" s="105"/>
      <c r="E298" s="105"/>
      <c r="F298" s="105"/>
      <c r="G298" s="105"/>
      <c r="H298" s="105"/>
      <c r="I298" s="71"/>
      <c r="J298" s="72"/>
      <c r="K298" s="72"/>
      <c r="L298" s="72"/>
    </row>
    <row r="299" spans="1:12" ht="14.25">
      <c r="A299" s="69"/>
      <c r="B299" s="70"/>
      <c r="C299" s="105" t="s">
        <v>543</v>
      </c>
      <c r="D299" s="105"/>
      <c r="E299" s="105"/>
      <c r="F299" s="105"/>
      <c r="G299" s="105"/>
      <c r="H299" s="105"/>
      <c r="I299" s="71"/>
      <c r="J299" s="72">
        <f>SUM(Q47:Q294)</f>
        <v>8784.78</v>
      </c>
      <c r="K299" s="72"/>
      <c r="L299" s="72">
        <f>SUM(U47:U294)</f>
        <v>320380.92</v>
      </c>
    </row>
    <row r="300" spans="1:12" ht="14.25">
      <c r="A300" s="69"/>
      <c r="B300" s="70">
        <f>Source!V300</f>
      </c>
      <c r="C300" s="105" t="s">
        <v>544</v>
      </c>
      <c r="D300" s="105"/>
      <c r="E300" s="105"/>
      <c r="F300" s="105"/>
      <c r="G300" s="105"/>
      <c r="H300" s="105"/>
      <c r="I300" s="71"/>
      <c r="J300" s="72">
        <f>SUM(AB47:AB294)</f>
        <v>1945.1399999999999</v>
      </c>
      <c r="K300" s="72">
        <f>Source!E300</f>
        <v>12.97</v>
      </c>
      <c r="L300" s="72">
        <f>ROUND(J300*K300,2)</f>
        <v>25228.47</v>
      </c>
    </row>
    <row r="301" spans="1:12" ht="14.25">
      <c r="A301" s="69"/>
      <c r="B301" s="70">
        <f>Source!U300</f>
      </c>
      <c r="C301" s="105" t="s">
        <v>545</v>
      </c>
      <c r="D301" s="105"/>
      <c r="E301" s="105"/>
      <c r="F301" s="105"/>
      <c r="G301" s="105"/>
      <c r="H301" s="105"/>
      <c r="I301" s="71"/>
      <c r="J301" s="72">
        <f>SUM(AF47:AF294)-J306</f>
        <v>132624.83</v>
      </c>
      <c r="K301" s="72">
        <f>Source!D300</f>
        <v>6.82</v>
      </c>
      <c r="L301" s="72">
        <f>ROUND(J301*K301,2)</f>
        <v>904501.34</v>
      </c>
    </row>
    <row r="302" spans="1:12" ht="14.25">
      <c r="A302" s="69"/>
      <c r="B302" s="70">
        <f>Source!AB300</f>
      </c>
      <c r="C302" s="105" t="s">
        <v>546</v>
      </c>
      <c r="D302" s="105"/>
      <c r="E302" s="105"/>
      <c r="F302" s="105"/>
      <c r="G302" s="105"/>
      <c r="H302" s="105"/>
      <c r="I302" s="71"/>
      <c r="J302" s="72">
        <f>SUM(AR47:AR294)+SUM(BB47:BB294)+SUM(BI47:BI294)+SUM(BP47:BP294)</f>
        <v>1238.73</v>
      </c>
      <c r="K302" s="72">
        <f>Source!L300</f>
        <v>12.97</v>
      </c>
      <c r="L302" s="72">
        <f>ROUND(J302*K302,2)</f>
        <v>16066.33</v>
      </c>
    </row>
    <row r="303" spans="1:12" ht="14.25">
      <c r="A303" s="69"/>
      <c r="B303" s="70"/>
      <c r="C303" s="105" t="s">
        <v>591</v>
      </c>
      <c r="D303" s="105"/>
      <c r="E303" s="105"/>
      <c r="F303" s="105"/>
      <c r="G303" s="105"/>
      <c r="H303" s="105"/>
      <c r="I303" s="71"/>
      <c r="J303" s="72">
        <f>SUM(Q47:Q294)+SUM(X47:X294)</f>
        <v>9106.03</v>
      </c>
      <c r="K303" s="72"/>
      <c r="L303" s="72">
        <f>SUM(U47:U294)+SUM(Z47:Z294)</f>
        <v>332096.92</v>
      </c>
    </row>
    <row r="304" spans="1:12" ht="14.25">
      <c r="A304" s="69"/>
      <c r="B304" s="70"/>
      <c r="C304" s="105" t="s">
        <v>592</v>
      </c>
      <c r="D304" s="105"/>
      <c r="E304" s="105"/>
      <c r="F304" s="105"/>
      <c r="G304" s="105"/>
      <c r="H304" s="105"/>
      <c r="I304" s="71"/>
      <c r="J304" s="72">
        <f>SUM(AG47:AG294)</f>
        <v>10404.97</v>
      </c>
      <c r="K304" s="72"/>
      <c r="L304" s="72">
        <f>SUM(AH47:AH294)</f>
        <v>379468.92</v>
      </c>
    </row>
    <row r="305" spans="1:12" ht="14.25">
      <c r="A305" s="69"/>
      <c r="B305" s="70"/>
      <c r="C305" s="105" t="s">
        <v>593</v>
      </c>
      <c r="D305" s="105"/>
      <c r="E305" s="105"/>
      <c r="F305" s="105"/>
      <c r="G305" s="105"/>
      <c r="H305" s="105"/>
      <c r="I305" s="71"/>
      <c r="J305" s="72">
        <f>SUM(AI47:AI294)</f>
        <v>7413.96</v>
      </c>
      <c r="K305" s="72"/>
      <c r="L305" s="72">
        <f>SUM(AJ47:AJ294)</f>
        <v>270387.48</v>
      </c>
    </row>
    <row r="306" spans="1:12" ht="13.5" customHeight="1" hidden="1">
      <c r="A306" s="69"/>
      <c r="B306" s="70">
        <f>Source!Y300</f>
      </c>
      <c r="C306" s="105" t="s">
        <v>594</v>
      </c>
      <c r="D306" s="105"/>
      <c r="E306" s="105"/>
      <c r="F306" s="105"/>
      <c r="G306" s="105"/>
      <c r="H306" s="105"/>
      <c r="I306" s="71"/>
      <c r="J306" s="72">
        <f>SUM(BH47:BH294)</f>
        <v>0</v>
      </c>
      <c r="K306" s="72">
        <f>Source!H300</f>
        <v>1</v>
      </c>
      <c r="L306" s="72">
        <f>ROUND(J306*K306,2)</f>
        <v>0</v>
      </c>
    </row>
    <row r="307" spans="1:12" ht="13.5" customHeight="1" hidden="1">
      <c r="A307" s="69"/>
      <c r="B307" s="70"/>
      <c r="C307" s="105" t="s">
        <v>595</v>
      </c>
      <c r="D307" s="105"/>
      <c r="E307" s="105"/>
      <c r="F307" s="105"/>
      <c r="G307" s="105"/>
      <c r="H307" s="105"/>
      <c r="I307" s="71"/>
      <c r="J307" s="72">
        <f>J310+J309</f>
        <v>0</v>
      </c>
      <c r="K307" s="72"/>
      <c r="L307" s="72">
        <f>ROUND(L310+L309,2)</f>
        <v>0</v>
      </c>
    </row>
    <row r="308" spans="1:12" ht="13.5" customHeight="1" hidden="1">
      <c r="A308" s="69"/>
      <c r="B308" s="70"/>
      <c r="C308" s="106" t="s">
        <v>542</v>
      </c>
      <c r="D308" s="105"/>
      <c r="E308" s="105"/>
      <c r="F308" s="105"/>
      <c r="G308" s="105"/>
      <c r="H308" s="105"/>
      <c r="I308" s="71"/>
      <c r="J308" s="72"/>
      <c r="K308" s="72"/>
      <c r="L308" s="72"/>
    </row>
    <row r="309" spans="1:12" ht="13.5" customHeight="1" hidden="1">
      <c r="A309" s="69"/>
      <c r="B309" s="70">
        <f>Source!AA300</f>
      </c>
      <c r="C309" s="105" t="s">
        <v>596</v>
      </c>
      <c r="D309" s="105"/>
      <c r="E309" s="105"/>
      <c r="F309" s="105"/>
      <c r="G309" s="105"/>
      <c r="H309" s="105"/>
      <c r="I309" s="71"/>
      <c r="J309" s="72">
        <f>SUM(BN47:BN294)</f>
        <v>0</v>
      </c>
      <c r="K309" s="72">
        <f>Source!K300</f>
        <v>1</v>
      </c>
      <c r="L309" s="72">
        <f>SUM(BU47:BU294)</f>
        <v>0</v>
      </c>
    </row>
    <row r="310" spans="1:12" ht="13.5" customHeight="1" hidden="1">
      <c r="A310" s="69"/>
      <c r="B310" s="70">
        <f>Source!Z300</f>
      </c>
      <c r="C310" s="105" t="s">
        <v>597</v>
      </c>
      <c r="D310" s="105"/>
      <c r="E310" s="105"/>
      <c r="F310" s="105"/>
      <c r="G310" s="105"/>
      <c r="H310" s="105"/>
      <c r="I310" s="71"/>
      <c r="J310" s="72">
        <f>SUM(BM47:BM294)</f>
        <v>0</v>
      </c>
      <c r="K310" s="72">
        <f>Source!I300</f>
        <v>1</v>
      </c>
      <c r="L310" s="72">
        <f>ROUND(J310*K310,2)</f>
        <v>0</v>
      </c>
    </row>
    <row r="311" spans="1:12" ht="15">
      <c r="A311" s="65"/>
      <c r="B311" s="66"/>
      <c r="C311" s="105" t="s">
        <v>589</v>
      </c>
      <c r="D311" s="105"/>
      <c r="E311" s="105"/>
      <c r="F311" s="105"/>
      <c r="G311" s="105"/>
      <c r="H311" s="105"/>
      <c r="I311" s="71"/>
      <c r="J311" s="72">
        <f>J297+J304+J305+J306</f>
        <v>162412.41</v>
      </c>
      <c r="K311" s="72"/>
      <c r="L311" s="72">
        <f>L297+L304+L305+L306</f>
        <v>1916033.46</v>
      </c>
    </row>
    <row r="312" spans="1:12" ht="13.5" customHeight="1" hidden="1">
      <c r="A312" s="69"/>
      <c r="B312" s="70"/>
      <c r="C312" s="106" t="s">
        <v>542</v>
      </c>
      <c r="D312" s="105"/>
      <c r="E312" s="105"/>
      <c r="F312" s="105"/>
      <c r="G312" s="105"/>
      <c r="H312" s="105"/>
      <c r="I312" s="71"/>
      <c r="J312" s="72"/>
      <c r="K312" s="72"/>
      <c r="L312" s="72"/>
    </row>
    <row r="313" spans="1:12" ht="13.5" customHeight="1" hidden="1">
      <c r="A313" s="69"/>
      <c r="B313" s="70"/>
      <c r="C313" s="105" t="s">
        <v>553</v>
      </c>
      <c r="D313" s="105"/>
      <c r="E313" s="105"/>
      <c r="F313" s="105"/>
      <c r="G313" s="105"/>
      <c r="H313" s="105"/>
      <c r="I313" s="71"/>
      <c r="J313" s="72"/>
      <c r="K313" s="72"/>
      <c r="L313" s="72">
        <f>SUM(BS47:BS294)</f>
        <v>0</v>
      </c>
    </row>
    <row r="314" spans="1:12" ht="13.5" customHeight="1" hidden="1">
      <c r="A314" s="69"/>
      <c r="B314" s="70"/>
      <c r="C314" s="105" t="s">
        <v>554</v>
      </c>
      <c r="D314" s="105"/>
      <c r="E314" s="105"/>
      <c r="F314" s="105"/>
      <c r="G314" s="105"/>
      <c r="H314" s="105"/>
      <c r="I314" s="71"/>
      <c r="J314" s="72"/>
      <c r="K314" s="72"/>
      <c r="L314" s="72">
        <f>SUM(BT47:BT294)</f>
        <v>0</v>
      </c>
    </row>
    <row r="315" spans="3:12" ht="14.25">
      <c r="C315" s="113" t="str">
        <f>Source!H229</f>
        <v>Всего материалов</v>
      </c>
      <c r="D315" s="113"/>
      <c r="E315" s="113"/>
      <c r="F315" s="113"/>
      <c r="G315" s="113"/>
      <c r="H315" s="113"/>
      <c r="I315" s="113"/>
      <c r="J315" s="49">
        <f>IF(Source!Z229=0,"",Source!Z229)</f>
        <v>132624.83</v>
      </c>
      <c r="K315" s="51">
        <f>IF(OR(Source!AA229=0,Source!AA229=1),"",Source!AA229)</f>
      </c>
      <c r="L315" s="49">
        <f>IF(Source!AB229=0,"",Source!AB229)</f>
        <v>904501.34</v>
      </c>
    </row>
    <row r="316" spans="3:12" ht="14.25">
      <c r="C316" s="113" t="str">
        <f>Source!H230</f>
        <v>итого по разделу</v>
      </c>
      <c r="D316" s="113"/>
      <c r="E316" s="113"/>
      <c r="F316" s="113"/>
      <c r="G316" s="113"/>
      <c r="H316" s="113"/>
      <c r="I316" s="113"/>
      <c r="J316" s="49">
        <f>IF(Source!Z230=0,"",Source!Z230)</f>
        <v>162412.41</v>
      </c>
      <c r="K316" s="51">
        <f>IF(OR(Source!AA230=0,Source!AA230=1),"",Source!AA230)</f>
      </c>
      <c r="L316" s="49">
        <f>IF(Source!AB230=0,"",Source!AB230)</f>
        <v>1916033.46</v>
      </c>
    </row>
    <row r="317" spans="3:12" ht="14.25">
      <c r="C317" s="113" t="str">
        <f>Source!H231</f>
        <v>НДС 20%</v>
      </c>
      <c r="D317" s="113"/>
      <c r="E317" s="113"/>
      <c r="F317" s="113"/>
      <c r="G317" s="113"/>
      <c r="H317" s="113"/>
      <c r="I317" s="113"/>
      <c r="J317" s="49">
        <f>IF(Source!Z231=0,"",Source!Z231)</f>
        <v>32482.48</v>
      </c>
      <c r="K317" s="51">
        <f>IF(OR(Source!AA231=0,Source!AA231=1),"",Source!AA231)</f>
      </c>
      <c r="L317" s="49">
        <f>IF(Source!AB231=0,"",Source!AB231)</f>
        <v>383206.69</v>
      </c>
    </row>
    <row r="318" spans="3:12" ht="15">
      <c r="C318" s="114" t="str">
        <f>Source!H232</f>
        <v>ВСЕГО ПО СМЕТЕ</v>
      </c>
      <c r="D318" s="114"/>
      <c r="E318" s="114"/>
      <c r="F318" s="114"/>
      <c r="G318" s="114"/>
      <c r="H318" s="114"/>
      <c r="I318" s="114"/>
      <c r="J318" s="64">
        <f>IF(Source!Z232=0,"",Source!Z232)</f>
        <v>194894.89</v>
      </c>
      <c r="K318" s="63">
        <f>IF(OR(Source!AA232=0,Source!AA232=1),"",Source!AA232)</f>
      </c>
      <c r="L318" s="64">
        <f>IF(Source!AB232=0,"",Source!AB232)</f>
        <v>2299240.15</v>
      </c>
    </row>
    <row r="321" spans="1:11" ht="14.25">
      <c r="A321" s="110" t="s">
        <v>598</v>
      </c>
      <c r="B321" s="110"/>
      <c r="C321" s="46" t="str">
        <f>IF(Source!AC12&lt;&gt;"",Source!AC12," ")</f>
        <v>Ведующий инженер РЕСО</v>
      </c>
      <c r="D321" s="46"/>
      <c r="E321" s="46"/>
      <c r="F321" s="46"/>
      <c r="G321" s="46"/>
      <c r="H321" s="111" t="str">
        <f>IF(Source!AB12&lt;&gt;"",Source!AB12," ")</f>
        <v>Степанова А.М.</v>
      </c>
      <c r="I321" s="111"/>
      <c r="J321" s="111"/>
      <c r="K321" s="111"/>
    </row>
    <row r="322" spans="1:11" ht="14.25">
      <c r="A322" s="14"/>
      <c r="B322" s="14"/>
      <c r="C322" s="112" t="s">
        <v>599</v>
      </c>
      <c r="D322" s="112"/>
      <c r="E322" s="112"/>
      <c r="F322" s="112"/>
      <c r="G322" s="112"/>
      <c r="H322" s="14"/>
      <c r="I322" s="14"/>
      <c r="J322" s="14"/>
      <c r="K322" s="14"/>
    </row>
    <row r="323" spans="1:11" ht="14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4.25">
      <c r="A324" s="110" t="s">
        <v>600</v>
      </c>
      <c r="B324" s="110"/>
      <c r="C324" s="46" t="str">
        <f>IF(Source!AE12&lt;&gt;"",Source!AE12," ")</f>
        <v>Заведующий РЕСО</v>
      </c>
      <c r="D324" s="46"/>
      <c r="E324" s="46"/>
      <c r="F324" s="46"/>
      <c r="G324" s="46"/>
      <c r="H324" s="111" t="str">
        <f>IF(Source!AD12&lt;&gt;"",Source!AD12," ")</f>
        <v>Покшин В.И.</v>
      </c>
      <c r="I324" s="111"/>
      <c r="J324" s="111"/>
      <c r="K324" s="111"/>
    </row>
    <row r="325" spans="1:11" ht="14.25">
      <c r="A325" s="14"/>
      <c r="B325" s="14"/>
      <c r="C325" s="112" t="s">
        <v>599</v>
      </c>
      <c r="D325" s="112"/>
      <c r="E325" s="112"/>
      <c r="F325" s="112"/>
      <c r="G325" s="112"/>
      <c r="H325" s="14"/>
      <c r="I325" s="14"/>
      <c r="J325" s="14"/>
      <c r="K325" s="14"/>
    </row>
  </sheetData>
  <sheetProtection/>
  <mergeCells count="142">
    <mergeCell ref="B3:E3"/>
    <mergeCell ref="H3:L3"/>
    <mergeCell ref="B4:E4"/>
    <mergeCell ref="H4:L4"/>
    <mergeCell ref="B6:E6"/>
    <mergeCell ref="H6:L6"/>
    <mergeCell ref="B18:K18"/>
    <mergeCell ref="B19:K19"/>
    <mergeCell ref="B21:K21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A42:A45"/>
    <mergeCell ref="B42:B45"/>
    <mergeCell ref="C42:C45"/>
    <mergeCell ref="D42:D45"/>
    <mergeCell ref="E42:G44"/>
    <mergeCell ref="H42:J44"/>
    <mergeCell ref="C30:G30"/>
    <mergeCell ref="D34:E34"/>
    <mergeCell ref="D37:E37"/>
    <mergeCell ref="D38:E38"/>
    <mergeCell ref="D39:E39"/>
    <mergeCell ref="D40:E40"/>
    <mergeCell ref="K42:K45"/>
    <mergeCell ref="L42:L45"/>
    <mergeCell ref="C112:I112"/>
    <mergeCell ref="C269:I269"/>
    <mergeCell ref="C294:I294"/>
    <mergeCell ref="C315:I315"/>
    <mergeCell ref="C104:H104"/>
    <mergeCell ref="C103:H103"/>
    <mergeCell ref="C102:H102"/>
    <mergeCell ref="C101:H101"/>
    <mergeCell ref="C98:H98"/>
    <mergeCell ref="C97:H97"/>
    <mergeCell ref="I95:J95"/>
    <mergeCell ref="C95:H95"/>
    <mergeCell ref="A48:L48"/>
    <mergeCell ref="C234:H234"/>
    <mergeCell ref="I217:J217"/>
    <mergeCell ref="C217:H217"/>
    <mergeCell ref="I203:J203"/>
    <mergeCell ref="C203:H203"/>
    <mergeCell ref="I188:J188"/>
    <mergeCell ref="C188:H188"/>
    <mergeCell ref="I85:J85"/>
    <mergeCell ref="C85:H85"/>
    <mergeCell ref="A324:B324"/>
    <mergeCell ref="H324:K324"/>
    <mergeCell ref="C325:G325"/>
    <mergeCell ref="C107:H107"/>
    <mergeCell ref="C106:H106"/>
    <mergeCell ref="C105:H105"/>
    <mergeCell ref="I174:J174"/>
    <mergeCell ref="C174:H174"/>
    <mergeCell ref="I158:J158"/>
    <mergeCell ref="C158:H158"/>
    <mergeCell ref="C316:I316"/>
    <mergeCell ref="C317:I317"/>
    <mergeCell ref="C318:I318"/>
    <mergeCell ref="A321:B321"/>
    <mergeCell ref="H321:K321"/>
    <mergeCell ref="C322:G322"/>
    <mergeCell ref="I137:J137"/>
    <mergeCell ref="C137:H137"/>
    <mergeCell ref="I124:J124"/>
    <mergeCell ref="C124:H124"/>
    <mergeCell ref="A114:L114"/>
    <mergeCell ref="C111:H111"/>
    <mergeCell ref="C252:H252"/>
    <mergeCell ref="I234:J234"/>
    <mergeCell ref="C265:H265"/>
    <mergeCell ref="C264:H264"/>
    <mergeCell ref="C263:H263"/>
    <mergeCell ref="C262:H262"/>
    <mergeCell ref="C255:H255"/>
    <mergeCell ref="C254:H254"/>
    <mergeCell ref="I72:J72"/>
    <mergeCell ref="C72:H72"/>
    <mergeCell ref="I62:J62"/>
    <mergeCell ref="C62:H62"/>
    <mergeCell ref="C100:H100"/>
    <mergeCell ref="C99:H99"/>
    <mergeCell ref="C110:H110"/>
    <mergeCell ref="C109:H109"/>
    <mergeCell ref="C108:H108"/>
    <mergeCell ref="A271:L271"/>
    <mergeCell ref="C281:H281"/>
    <mergeCell ref="C280:H280"/>
    <mergeCell ref="C279:H279"/>
    <mergeCell ref="I277:J277"/>
    <mergeCell ref="C277:H277"/>
    <mergeCell ref="C268:H268"/>
    <mergeCell ref="C267:H267"/>
    <mergeCell ref="C266:H266"/>
    <mergeCell ref="C283:H283"/>
    <mergeCell ref="C282:H282"/>
    <mergeCell ref="C293:H293"/>
    <mergeCell ref="C292:H292"/>
    <mergeCell ref="C291:H291"/>
    <mergeCell ref="C298:H298"/>
    <mergeCell ref="C297:H297"/>
    <mergeCell ref="C296:H296"/>
    <mergeCell ref="I252:J252"/>
    <mergeCell ref="C290:H290"/>
    <mergeCell ref="C289:H289"/>
    <mergeCell ref="C288:H288"/>
    <mergeCell ref="C287:H287"/>
    <mergeCell ref="C286:H286"/>
    <mergeCell ref="C285:H285"/>
    <mergeCell ref="C284:H284"/>
    <mergeCell ref="C261:H261"/>
    <mergeCell ref="C260:H260"/>
    <mergeCell ref="C259:H259"/>
    <mergeCell ref="C258:H258"/>
    <mergeCell ref="C257:H257"/>
    <mergeCell ref="C256:H256"/>
    <mergeCell ref="I274:J274"/>
    <mergeCell ref="C274:H274"/>
    <mergeCell ref="C314:H314"/>
    <mergeCell ref="C313:H313"/>
    <mergeCell ref="C312:H312"/>
    <mergeCell ref="C311:H311"/>
    <mergeCell ref="C310:H310"/>
    <mergeCell ref="C309:H309"/>
    <mergeCell ref="C301:H301"/>
    <mergeCell ref="C300:H300"/>
    <mergeCell ref="C299:H299"/>
    <mergeCell ref="C308:H308"/>
    <mergeCell ref="C307:H307"/>
    <mergeCell ref="C306:H306"/>
    <mergeCell ref="C305:H305"/>
    <mergeCell ref="C304:H304"/>
    <mergeCell ref="C303:H303"/>
    <mergeCell ref="C302:H302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0" width="0" style="0" hidden="1" customWidth="1"/>
    <col min="31" max="31" width="114.7109375" style="0" hidden="1" customWidth="1"/>
    <col min="32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3" t="s">
        <v>482</v>
      </c>
    </row>
    <row r="4" spans="4:5" ht="15">
      <c r="D4" s="63"/>
      <c r="E4" s="63"/>
    </row>
    <row r="5" spans="4:5" ht="15">
      <c r="D5" s="140" t="s">
        <v>601</v>
      </c>
      <c r="E5" s="140"/>
    </row>
    <row r="6" spans="4:5" ht="15">
      <c r="D6" s="79"/>
      <c r="E6" s="79"/>
    </row>
    <row r="7" spans="4:5" ht="15">
      <c r="D7" s="140" t="s">
        <v>601</v>
      </c>
      <c r="E7" s="140"/>
    </row>
    <row r="8" spans="4:5" ht="15">
      <c r="D8" s="79"/>
      <c r="E8" s="79"/>
    </row>
    <row r="9" spans="4:5" ht="15">
      <c r="D9" s="63" t="s">
        <v>602</v>
      </c>
      <c r="E9" s="14"/>
    </row>
    <row r="10" spans="4:5" ht="14.25">
      <c r="D10" s="14"/>
      <c r="E10" s="14"/>
    </row>
    <row r="12" spans="2:5" ht="15.75">
      <c r="B12" s="141" t="str">
        <f>CONCATENATE("Ведомость объемов работ ",IF(Source!AN15&lt;&gt;"",Source!AN15," "))</f>
        <v>Ведомость объемов работ  </v>
      </c>
      <c r="C12" s="141"/>
      <c r="D12" s="141"/>
      <c r="E12" s="141"/>
    </row>
    <row r="13" spans="2:31" ht="30">
      <c r="B13" s="142" t="str">
        <f>CONCATENATE(Source!F12," ",Source!G12)</f>
        <v> Выполнение работ по текущему ремонту гранитной облицовки пола ИПУ РАН (главный вход, стрение 2)</v>
      </c>
      <c r="C13" s="142"/>
      <c r="D13" s="142"/>
      <c r="E13" s="142"/>
      <c r="AE13" s="80" t="str">
        <f>CONCATENATE(Source!F12," ",Source!G12)</f>
        <v> Выполнение работ по текущему ремонту гранитной облицовки пола ИПУ РАН (главный вход, стрение 2)</v>
      </c>
    </row>
    <row r="14" ht="12.75" hidden="1"/>
    <row r="16" spans="1:8" ht="99.75">
      <c r="A16" s="82" t="s">
        <v>506</v>
      </c>
      <c r="B16" s="82" t="s">
        <v>603</v>
      </c>
      <c r="C16" s="82" t="s">
        <v>508</v>
      </c>
      <c r="D16" s="82" t="s">
        <v>509</v>
      </c>
      <c r="E16" s="82" t="s">
        <v>510</v>
      </c>
      <c r="F16" s="82" t="s">
        <v>604</v>
      </c>
      <c r="G16" s="82" t="s">
        <v>605</v>
      </c>
      <c r="H16" s="82" t="s">
        <v>606</v>
      </c>
    </row>
    <row r="17" spans="1:8" ht="14.25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</row>
    <row r="18" spans="1:8" ht="16.5">
      <c r="A18" s="139" t="str">
        <f>CONCATENATE("Локальная смета: ",Source!G20)</f>
        <v>Локальная смета: </v>
      </c>
      <c r="B18" s="139"/>
      <c r="C18" s="139"/>
      <c r="D18" s="139"/>
      <c r="E18" s="139"/>
      <c r="F18" s="139"/>
      <c r="G18" s="139"/>
      <c r="H18" s="139"/>
    </row>
    <row r="19" spans="1:8" ht="16.5">
      <c r="A19" s="139" t="str">
        <f>CONCATENATE("Раздел: ",Source!G24)</f>
        <v>Раздел: Демонтажные работы</v>
      </c>
      <c r="B19" s="139"/>
      <c r="C19" s="139"/>
      <c r="D19" s="139"/>
      <c r="E19" s="139"/>
      <c r="F19" s="139"/>
      <c r="G19" s="139"/>
      <c r="H19" s="139"/>
    </row>
    <row r="20" spans="1:8" ht="14.25">
      <c r="A20" s="82">
        <v>1</v>
      </c>
      <c r="B20" s="82" t="str">
        <f>Source!E28</f>
        <v>1</v>
      </c>
      <c r="C20" s="85" t="str">
        <f>Source!G28</f>
        <v>Разборка покрытий полов: из керамических плиток</v>
      </c>
      <c r="D20" s="82" t="s">
        <v>25</v>
      </c>
      <c r="E20" s="86">
        <f>Source!I28</f>
        <v>0.22</v>
      </c>
      <c r="F20" s="82">
        <f>Source!U24</f>
      </c>
      <c r="G20" s="82" t="str">
        <f>"=22/"&amp;"100"</f>
        <v>=22/100</v>
      </c>
      <c r="H20" s="85"/>
    </row>
    <row r="21" spans="1:8" ht="14.25">
      <c r="A21" s="82">
        <v>1.1</v>
      </c>
      <c r="B21" s="82" t="str">
        <f>Source!E30</f>
        <v>1,1</v>
      </c>
      <c r="C21" s="85" t="str">
        <f>Source!G30</f>
        <v>Строительный мусор</v>
      </c>
      <c r="D21" s="82" t="s">
        <v>36</v>
      </c>
      <c r="E21" s="86">
        <f>Source!I30</f>
        <v>0.44</v>
      </c>
      <c r="F21" s="82">
        <f>Source!U24</f>
      </c>
      <c r="G21" s="82"/>
      <c r="H21" s="85"/>
    </row>
    <row r="22" spans="1:8" ht="28.5">
      <c r="A22" s="82">
        <v>2</v>
      </c>
      <c r="B22" s="82" t="str">
        <f>Source!E32</f>
        <v>2</v>
      </c>
      <c r="C22" s="85" t="str">
        <f>Source!G32</f>
        <v>Разборка тротуаров и дорожек из плит с их отноской и укладкой в штабель</v>
      </c>
      <c r="D22" s="82" t="s">
        <v>25</v>
      </c>
      <c r="E22" s="86">
        <f>Source!I32</f>
        <v>1.733</v>
      </c>
      <c r="F22" s="82">
        <f>Source!U24</f>
      </c>
      <c r="G22" s="82" t="str">
        <f>"=173,3/"&amp;"100"</f>
        <v>=173,3/100</v>
      </c>
      <c r="H22" s="85"/>
    </row>
    <row r="23" spans="1:8" ht="28.5">
      <c r="A23" s="82">
        <v>3</v>
      </c>
      <c r="B23" s="82" t="str">
        <f>Source!E34</f>
        <v>3</v>
      </c>
      <c r="C23" s="85" t="str">
        <f>Source!G34</f>
        <v>Разборка покрытий и оснований: цементно-песчанных (Применительно) (165,8 м2 * 0,05 м = 8,25 м3)</v>
      </c>
      <c r="D23" s="82" t="s">
        <v>48</v>
      </c>
      <c r="E23" s="86">
        <f>Source!I34</f>
        <v>0.0825</v>
      </c>
      <c r="F23" s="82">
        <f>Source!U24</f>
      </c>
      <c r="G23" s="82" t="str">
        <f>"=8,25/"&amp;"100"</f>
        <v>=8,25/100</v>
      </c>
      <c r="H23" s="85"/>
    </row>
    <row r="24" spans="1:8" ht="14.25">
      <c r="A24" s="82">
        <v>4</v>
      </c>
      <c r="B24" s="82" t="str">
        <f>Source!E36</f>
        <v>4</v>
      </c>
      <c r="C24" s="85" t="str">
        <f>Source!G36</f>
        <v>Разборка бортовых камней: на бетонном основании</v>
      </c>
      <c r="D24" s="82" t="s">
        <v>53</v>
      </c>
      <c r="E24" s="86">
        <f>Source!I36</f>
        <v>0.6</v>
      </c>
      <c r="F24" s="82">
        <f>Source!U24</f>
      </c>
      <c r="G24" s="82" t="str">
        <f>"=60/"&amp;"100"</f>
        <v>=60/100</v>
      </c>
      <c r="H24" s="85"/>
    </row>
    <row r="25" spans="1:8" ht="16.5">
      <c r="A25" s="139" t="str">
        <f>CONCATENATE("Раздел: ",Source!G70)</f>
        <v>Раздел: Монтажные работы</v>
      </c>
      <c r="B25" s="139"/>
      <c r="C25" s="139"/>
      <c r="D25" s="139"/>
      <c r="E25" s="139"/>
      <c r="F25" s="139"/>
      <c r="G25" s="139"/>
      <c r="H25" s="139"/>
    </row>
    <row r="26" spans="1:8" ht="14.25">
      <c r="A26" s="82">
        <v>5</v>
      </c>
      <c r="B26" s="82" t="str">
        <f>Source!E74</f>
        <v>5</v>
      </c>
      <c r="C26" s="85" t="str">
        <f>Source!G74</f>
        <v>Планировка участка: вручную</v>
      </c>
      <c r="D26" s="82" t="s">
        <v>25</v>
      </c>
      <c r="E26" s="86">
        <f>Source!I74</f>
        <v>1.733</v>
      </c>
      <c r="F26" s="82">
        <f>Source!U70</f>
      </c>
      <c r="G26" s="82" t="str">
        <f>"=173,3/"&amp;"100"</f>
        <v>=173,3/100</v>
      </c>
      <c r="H26" s="85"/>
    </row>
    <row r="27" spans="1:8" ht="14.25">
      <c r="A27" s="82">
        <v>6</v>
      </c>
      <c r="B27" s="82" t="str">
        <f>Source!E76</f>
        <v>6</v>
      </c>
      <c r="C27" s="85" t="str">
        <f>Source!G76</f>
        <v>Уплотнение грунта пневматическими трамбовками, группа грунтов: 1-2</v>
      </c>
      <c r="D27" s="82" t="s">
        <v>48</v>
      </c>
      <c r="E27" s="86">
        <f>Source!I76</f>
        <v>0.16</v>
      </c>
      <c r="F27" s="82">
        <f>Source!U70</f>
      </c>
      <c r="G27" s="82" t="str">
        <f>"=16/"&amp;"100"</f>
        <v>=16/100</v>
      </c>
      <c r="H27" s="85"/>
    </row>
    <row r="28" spans="1:8" ht="14.25">
      <c r="A28" s="82">
        <v>7</v>
      </c>
      <c r="B28" s="82" t="str">
        <f>Source!E78</f>
        <v>7</v>
      </c>
      <c r="C28" s="85" t="str">
        <f>Source!G78</f>
        <v>Устройство гидроизоляции из полиэтиленовой пленки,: первый слой</v>
      </c>
      <c r="D28" s="82" t="s">
        <v>25</v>
      </c>
      <c r="E28" s="86">
        <f>Source!I78</f>
        <v>1.733</v>
      </c>
      <c r="F28" s="82">
        <f>Source!U70</f>
      </c>
      <c r="G28" s="82" t="str">
        <f>"=173,3/"&amp;"100"</f>
        <v>=173,3/100</v>
      </c>
      <c r="H28" s="85"/>
    </row>
    <row r="29" spans="1:8" ht="14.25">
      <c r="A29" s="82">
        <v>7.1</v>
      </c>
      <c r="B29" s="82" t="str">
        <f>Source!E80</f>
        <v>7,1</v>
      </c>
      <c r="C29" s="85" t="str">
        <f>Source!G80</f>
        <v>Мастика битумно-резиновая кровельная</v>
      </c>
      <c r="D29" s="82" t="s">
        <v>36</v>
      </c>
      <c r="E29" s="86">
        <f>Source!I80</f>
        <v>-0.201028</v>
      </c>
      <c r="F29" s="82">
        <f>Source!U70</f>
      </c>
      <c r="G29" s="82"/>
      <c r="H29" s="85"/>
    </row>
    <row r="30" spans="1:8" ht="14.25">
      <c r="A30" s="82">
        <v>7.2</v>
      </c>
      <c r="B30" s="82" t="str">
        <f>Source!E82</f>
        <v>7,2</v>
      </c>
      <c r="C30" s="85" t="str">
        <f>Source!G82</f>
        <v>Бензин авиационный Б-70</v>
      </c>
      <c r="D30" s="82" t="s">
        <v>36</v>
      </c>
      <c r="E30" s="86">
        <f>Source!I82</f>
        <v>-0.081451</v>
      </c>
      <c r="F30" s="82">
        <f>Source!U70</f>
      </c>
      <c r="G30" s="82"/>
      <c r="H30" s="85"/>
    </row>
    <row r="31" spans="1:8" ht="14.25">
      <c r="A31" s="82">
        <v>7.3</v>
      </c>
      <c r="B31" s="82" t="str">
        <f>Source!E84</f>
        <v>7,3</v>
      </c>
      <c r="C31" s="85" t="str">
        <f>Source!G84</f>
        <v>Раствор готовый кладочный, цементный, М100</v>
      </c>
      <c r="D31" s="82" t="s">
        <v>160</v>
      </c>
      <c r="E31" s="86">
        <f>Source!I84</f>
        <v>-0.53723</v>
      </c>
      <c r="F31" s="82">
        <f>Source!U70</f>
      </c>
      <c r="G31" s="82"/>
      <c r="H31" s="85"/>
    </row>
    <row r="32" spans="1:8" ht="14.25">
      <c r="A32" s="82">
        <v>7.4</v>
      </c>
      <c r="B32" s="82" t="str">
        <f>Source!E86</f>
        <v>7,4</v>
      </c>
      <c r="C32" s="85" t="str">
        <f>Source!G86</f>
        <v>Рубероид кровельный РКП-350</v>
      </c>
      <c r="D32" s="82" t="s">
        <v>165</v>
      </c>
      <c r="E32" s="86">
        <f>Source!I86</f>
        <v>-194.096</v>
      </c>
      <c r="F32" s="82">
        <f>Source!U70</f>
      </c>
      <c r="G32" s="82"/>
      <c r="H32" s="85"/>
    </row>
    <row r="33" spans="1:8" ht="14.25">
      <c r="A33" s="82">
        <v>7.5</v>
      </c>
      <c r="B33" s="82" t="str">
        <f>Source!E88</f>
        <v>7,5</v>
      </c>
      <c r="C33" s="85" t="str">
        <f>Source!G88</f>
        <v>Бутилкаучук, марка А</v>
      </c>
      <c r="D33" s="82" t="s">
        <v>36</v>
      </c>
      <c r="E33" s="86">
        <f>Source!I88</f>
        <v>-0.010398</v>
      </c>
      <c r="F33" s="82">
        <f>Source!U70</f>
      </c>
      <c r="G33" s="82"/>
      <c r="H33" s="85"/>
    </row>
    <row r="34" spans="1:8" ht="14.25">
      <c r="A34" s="82">
        <v>7.6</v>
      </c>
      <c r="B34" s="82" t="str">
        <f>Source!E90</f>
        <v>7,6</v>
      </c>
      <c r="C34" s="85" t="str">
        <f>Source!G90</f>
        <v>Лак битумный БТ-783</v>
      </c>
      <c r="D34" s="82" t="s">
        <v>36</v>
      </c>
      <c r="E34" s="86">
        <f>Source!I90</f>
        <v>-0.08665</v>
      </c>
      <c r="F34" s="82">
        <f>Source!U70</f>
      </c>
      <c r="G34" s="82"/>
      <c r="H34" s="85"/>
    </row>
    <row r="35" spans="1:8" ht="14.25">
      <c r="A35" s="82">
        <v>7.7</v>
      </c>
      <c r="B35" s="82" t="str">
        <f>Source!E92</f>
        <v>7,7</v>
      </c>
      <c r="C35" s="85" t="str">
        <f>Source!G92</f>
        <v>Ацетон технический, сорт I</v>
      </c>
      <c r="D35" s="82" t="s">
        <v>36</v>
      </c>
      <c r="E35" s="86">
        <f>Source!I92</f>
        <v>-0.0019059999999999997</v>
      </c>
      <c r="F35" s="82">
        <f>Source!U70</f>
      </c>
      <c r="G35" s="82"/>
      <c r="H35" s="85"/>
    </row>
    <row r="36" spans="1:8" ht="14.25">
      <c r="A36" s="82">
        <v>8</v>
      </c>
      <c r="B36" s="82" t="str">
        <f>Source!E94</f>
        <v>8</v>
      </c>
      <c r="C36" s="85" t="str">
        <f>Source!G94</f>
        <v>Устройство бетонной подготовки</v>
      </c>
      <c r="D36" s="82" t="s">
        <v>48</v>
      </c>
      <c r="E36" s="86">
        <f>Source!I94</f>
        <v>0.138</v>
      </c>
      <c r="F36" s="82">
        <f>Source!U70</f>
      </c>
      <c r="G36" s="82" t="str">
        <f>"=13,8/"&amp;"100"</f>
        <v>=13,8/100</v>
      </c>
      <c r="H36" s="85"/>
    </row>
    <row r="37" spans="1:8" ht="14.25">
      <c r="A37" s="82">
        <v>8.1</v>
      </c>
      <c r="B37" s="82" t="str">
        <f>Source!E96</f>
        <v>8,1</v>
      </c>
      <c r="C37" s="85" t="str">
        <f>Source!G96</f>
        <v>Смеси бетонные тяжелого бетона (БСТ), класс В25 (М350)</v>
      </c>
      <c r="D37" s="82" t="s">
        <v>160</v>
      </c>
      <c r="E37" s="86">
        <f>Source!I96</f>
        <v>14.077586000000002</v>
      </c>
      <c r="F37" s="82">
        <f>Source!U70</f>
      </c>
      <c r="G37" s="82"/>
      <c r="H37" s="85"/>
    </row>
    <row r="38" spans="1:8" ht="14.25">
      <c r="A38" s="82">
        <v>8.2</v>
      </c>
      <c r="B38" s="82" t="str">
        <f>Source!E98</f>
        <v>8,2</v>
      </c>
      <c r="C38" s="85" t="str">
        <f>Source!G98</f>
        <v>Добавка "Суперпластификатор С-3"</v>
      </c>
      <c r="D38" s="82" t="s">
        <v>194</v>
      </c>
      <c r="E38" s="86">
        <f>Source!I98</f>
        <v>24</v>
      </c>
      <c r="F38" s="82">
        <f>Source!U70</f>
      </c>
      <c r="G38" s="82"/>
      <c r="H38" s="85"/>
    </row>
    <row r="39" spans="1:8" ht="28.5">
      <c r="A39" s="82">
        <v>9</v>
      </c>
      <c r="B39" s="82" t="str">
        <f>Source!E100</f>
        <v>9</v>
      </c>
      <c r="C39" s="85" t="str">
        <f>Source!G100</f>
        <v>Укладка металлической сетки в цементобетонное дорожное покрытие в два слоя (Применительно)</v>
      </c>
      <c r="D39" s="82" t="s">
        <v>199</v>
      </c>
      <c r="E39" s="86">
        <f>Source!I100</f>
        <v>0.1733</v>
      </c>
      <c r="F39" s="82">
        <f>Source!U70</f>
      </c>
      <c r="G39" s="82" t="str">
        <f>"=173,3/"&amp;"1000"</f>
        <v>=173,3/1000</v>
      </c>
      <c r="H39" s="85"/>
    </row>
    <row r="40" spans="1:8" ht="28.5">
      <c r="A40" s="82">
        <v>9.1</v>
      </c>
      <c r="B40" s="82" t="str">
        <f>Source!E102</f>
        <v>9,1</v>
      </c>
      <c r="C40" s="85" t="str">
        <f>Source!G102</f>
        <v>Сетка сварная с ячейкой 10 из арматурной стали класса А-I и А-II, диаметр 5 мм</v>
      </c>
      <c r="D40" s="82" t="s">
        <v>36</v>
      </c>
      <c r="E40" s="86">
        <f>Source!I102</f>
        <v>1.075655</v>
      </c>
      <c r="F40" s="82">
        <f>Source!U70</f>
      </c>
      <c r="G40" s="82"/>
      <c r="H40" s="85"/>
    </row>
    <row r="41" spans="1:8" ht="28.5">
      <c r="A41" s="82">
        <v>10</v>
      </c>
      <c r="B41" s="82" t="str">
        <f>Source!E104</f>
        <v>10</v>
      </c>
      <c r="C41" s="85" t="str">
        <f>Source!G104</f>
        <v>Гидроизоляция основания: горизонтальная цементная с жидким стеклом (Применительно)</v>
      </c>
      <c r="D41" s="82" t="s">
        <v>25</v>
      </c>
      <c r="E41" s="86">
        <f>Source!I104</f>
        <v>1.733</v>
      </c>
      <c r="F41" s="82">
        <f>Source!U70</f>
      </c>
      <c r="G41" s="82" t="str">
        <f>"=173,3/"&amp;"100"</f>
        <v>=173,3/100</v>
      </c>
      <c r="H41" s="85"/>
    </row>
    <row r="42" spans="1:8" ht="14.25">
      <c r="A42" s="82">
        <v>10.1</v>
      </c>
      <c r="B42" s="82" t="str">
        <f>Source!E106</f>
        <v>10,1</v>
      </c>
      <c r="C42" s="85" t="str">
        <f>Source!G106</f>
        <v>Раствор готовый кладочный цементный тяжелый</v>
      </c>
      <c r="D42" s="82" t="s">
        <v>160</v>
      </c>
      <c r="E42" s="86">
        <f>Source!I106</f>
        <v>5.3723</v>
      </c>
      <c r="F42" s="82">
        <f>Source!U70</f>
      </c>
      <c r="G42" s="82"/>
      <c r="H42" s="85"/>
    </row>
    <row r="43" spans="1:8" ht="14.25">
      <c r="A43" s="82">
        <v>11</v>
      </c>
      <c r="B43" s="82" t="str">
        <f>Source!E108</f>
        <v>11</v>
      </c>
      <c r="C43" s="85" t="str">
        <f>Source!G108</f>
        <v>Установка бортовых камней бетонных: при цементобетонных покрытиях</v>
      </c>
      <c r="D43" s="82" t="s">
        <v>53</v>
      </c>
      <c r="E43" s="86">
        <f>Source!I108</f>
        <v>0.6</v>
      </c>
      <c r="F43" s="82">
        <f>Source!U70</f>
      </c>
      <c r="G43" s="82" t="str">
        <f>"=60/"&amp;"100"</f>
        <v>=60/100</v>
      </c>
      <c r="H43" s="85"/>
    </row>
    <row r="44" spans="1:8" ht="28.5">
      <c r="A44" s="82">
        <v>12</v>
      </c>
      <c r="B44" s="82" t="str">
        <f>Source!E110</f>
        <v>12</v>
      </c>
      <c r="C44" s="85" t="str">
        <f>Source!G110</f>
        <v>Устройство покрытий из гранитных  трермообраборатнных плит (Применительно)</v>
      </c>
      <c r="D44" s="82" t="s">
        <v>25</v>
      </c>
      <c r="E44" s="86">
        <f>Source!I110</f>
        <v>1.733</v>
      </c>
      <c r="F44" s="82">
        <f>Source!U70</f>
      </c>
      <c r="G44" s="82" t="str">
        <f>"=173,3/"&amp;"100"</f>
        <v>=173,3/100</v>
      </c>
      <c r="H44" s="85"/>
    </row>
    <row r="45" spans="1:8" ht="14.25">
      <c r="A45" s="82">
        <v>12.1</v>
      </c>
      <c r="B45" s="82" t="str">
        <f>Source!E112</f>
        <v>12,1</v>
      </c>
      <c r="C45" s="85" t="str">
        <f>Source!G112</f>
        <v>Плиты облицовочные, гранитные, класс 1,  толщина 30 мм</v>
      </c>
      <c r="D45" s="82" t="s">
        <v>165</v>
      </c>
      <c r="E45" s="86">
        <f>Source!I112</f>
        <v>182.315607</v>
      </c>
      <c r="F45" s="82">
        <f>Source!U70</f>
      </c>
      <c r="G45" s="82"/>
      <c r="H45" s="85"/>
    </row>
    <row r="46" spans="1:8" ht="14.25">
      <c r="A46" s="82">
        <v>12.2</v>
      </c>
      <c r="B46" s="82" t="str">
        <f>Source!E114</f>
        <v>12,2</v>
      </c>
      <c r="C46" s="85" t="str">
        <f>Source!G114</f>
        <v>Клей для плитки Ветонит "Клей для мраморной плитки"</v>
      </c>
      <c r="D46" s="82" t="s">
        <v>36</v>
      </c>
      <c r="E46" s="86">
        <f>Source!I114</f>
        <v>1.69316</v>
      </c>
      <c r="F46" s="82">
        <f>Source!U70</f>
      </c>
      <c r="G46" s="82"/>
      <c r="H46" s="85"/>
    </row>
    <row r="47" spans="1:8" ht="28.5">
      <c r="A47" s="82">
        <v>12.3</v>
      </c>
      <c r="B47" s="82" t="str">
        <f>Source!E116</f>
        <v>12,3</v>
      </c>
      <c r="C47" s="85" t="str">
        <f>Source!G116</f>
        <v>Смеси сухие водостойкие для затирки межплиточных швов шириной 1-6 мм (различная цветовая гамма)</v>
      </c>
      <c r="D47" s="82" t="s">
        <v>36</v>
      </c>
      <c r="E47" s="86">
        <f>Source!I116</f>
        <v>0.15627</v>
      </c>
      <c r="F47" s="82">
        <f>Source!U70</f>
      </c>
      <c r="G47" s="82"/>
      <c r="H47" s="85"/>
    </row>
    <row r="48" spans="1:8" ht="14.25">
      <c r="A48" s="82">
        <v>13</v>
      </c>
      <c r="B48" s="82" t="str">
        <f>Source!E118</f>
        <v>13</v>
      </c>
      <c r="C48" s="85" t="str">
        <f>Source!G118</f>
        <v>Устройство покрытий из плит керамогранитных размером: 40х40 см</v>
      </c>
      <c r="D48" s="82" t="s">
        <v>25</v>
      </c>
      <c r="E48" s="86">
        <f>Source!I118</f>
        <v>0.22</v>
      </c>
      <c r="F48" s="82">
        <f>Source!U70</f>
      </c>
      <c r="G48" s="82" t="str">
        <f>"=22/"&amp;"100"</f>
        <v>=22/100</v>
      </c>
      <c r="H48" s="85"/>
    </row>
    <row r="49" spans="1:8" ht="14.25">
      <c r="A49" s="82">
        <v>13.1</v>
      </c>
      <c r="B49" s="82" t="str">
        <f>Source!E120</f>
        <v>13,1</v>
      </c>
      <c r="C49" s="85" t="str">
        <f>Source!G120</f>
        <v>Плитка керамогранитная, размер 400x400x9 мм</v>
      </c>
      <c r="D49" s="82" t="s">
        <v>165</v>
      </c>
      <c r="E49" s="86">
        <f>Source!I120</f>
        <v>23.1</v>
      </c>
      <c r="F49" s="82">
        <f>Source!U70</f>
      </c>
      <c r="G49" s="82"/>
      <c r="H49" s="85"/>
    </row>
    <row r="50" spans="1:8" ht="14.25">
      <c r="A50" s="82">
        <v>13.2</v>
      </c>
      <c r="B50" s="82" t="str">
        <f>Source!E122</f>
        <v>13,2</v>
      </c>
      <c r="C50" s="85" t="str">
        <f>Source!G122</f>
        <v>Рейки дубовые, толщина 5-7 мм</v>
      </c>
      <c r="D50" s="82" t="s">
        <v>160</v>
      </c>
      <c r="E50" s="86">
        <f>Source!I122</f>
        <v>0.0022</v>
      </c>
      <c r="F50" s="82">
        <f>Source!U70</f>
      </c>
      <c r="G50" s="82"/>
      <c r="H50" s="85"/>
    </row>
    <row r="51" spans="1:8" ht="14.25">
      <c r="A51" s="82">
        <v>13.3</v>
      </c>
      <c r="B51" s="82" t="str">
        <f>Source!E124</f>
        <v>13,3</v>
      </c>
      <c r="C51" s="85" t="str">
        <f>Source!G124</f>
        <v>Клей для плитки (сухая смесь)</v>
      </c>
      <c r="D51" s="82" t="s">
        <v>36</v>
      </c>
      <c r="E51" s="86">
        <f>Source!I124</f>
        <v>0.264</v>
      </c>
      <c r="F51" s="82">
        <f>Source!U70</f>
      </c>
      <c r="G51" s="82"/>
      <c r="H51" s="85"/>
    </row>
    <row r="52" spans="1:8" ht="28.5">
      <c r="A52" s="82">
        <v>13.4</v>
      </c>
      <c r="B52" s="82" t="str">
        <f>Source!E126</f>
        <v>13,4</v>
      </c>
      <c r="C52" s="85" t="str">
        <f>Source!G126</f>
        <v>Грунтовка укрепляющая, глубокого проникновения, быстросохнущая, паропроницаемая</v>
      </c>
      <c r="D52" s="82" t="s">
        <v>194</v>
      </c>
      <c r="E52" s="86">
        <f>Source!I126</f>
        <v>4.5</v>
      </c>
      <c r="F52" s="82">
        <f>Source!U70</f>
      </c>
      <c r="G52" s="82"/>
      <c r="H52" s="85"/>
    </row>
    <row r="53" spans="1:8" ht="16.5">
      <c r="A53" s="139" t="str">
        <f>CONCATENATE("Раздел: ",Source!G160)</f>
        <v>Раздел: Разные работы</v>
      </c>
      <c r="B53" s="139"/>
      <c r="C53" s="139"/>
      <c r="D53" s="139"/>
      <c r="E53" s="139"/>
      <c r="F53" s="139"/>
      <c r="G53" s="139"/>
      <c r="H53" s="139"/>
    </row>
    <row r="54" spans="1:8" ht="28.5">
      <c r="A54" s="82">
        <v>14</v>
      </c>
      <c r="B54" s="82" t="str">
        <f>Source!E164</f>
        <v>14</v>
      </c>
      <c r="C54" s="85" t="str">
        <f>Source!G164</f>
        <v>Погрузочные работы при автомобильных перевозках мусора строительного с погрузкой вручную</v>
      </c>
      <c r="D54" s="82" t="s">
        <v>265</v>
      </c>
      <c r="E54" s="86">
        <f>Source!I164</f>
        <v>17.78</v>
      </c>
      <c r="F54" s="82">
        <f>Source!U160</f>
      </c>
      <c r="G54" s="82">
        <f>Source!I164</f>
        <v>17.78</v>
      </c>
      <c r="H54" s="85"/>
    </row>
    <row r="55" spans="1:8" ht="28.5">
      <c r="A55" s="81">
        <v>15</v>
      </c>
      <c r="B55" s="81" t="str">
        <f>Source!E166</f>
        <v>15</v>
      </c>
      <c r="C55" s="83" t="str">
        <f>Source!G166</f>
        <v>Перевозка грузов I класса автомобилями бортовыми грузоподъемностью до 15 т на расстояние: до 61 км</v>
      </c>
      <c r="D55" s="81" t="s">
        <v>265</v>
      </c>
      <c r="E55" s="84">
        <f>Source!I166</f>
        <v>17.78</v>
      </c>
      <c r="F55" s="81">
        <f>Source!U160</f>
      </c>
      <c r="G55" s="81">
        <f>Source!I166</f>
        <v>17.78</v>
      </c>
      <c r="H55" s="83"/>
    </row>
    <row r="58" spans="2:5" ht="15">
      <c r="B58" s="87" t="s">
        <v>607</v>
      </c>
      <c r="C58" s="14"/>
      <c r="D58" s="88" t="s">
        <v>608</v>
      </c>
      <c r="E58" s="89"/>
    </row>
  </sheetData>
  <sheetProtection/>
  <mergeCells count="8">
    <mergeCell ref="A25:H25"/>
    <mergeCell ref="A53:H53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3" t="s">
        <v>482</v>
      </c>
    </row>
    <row r="4" spans="3:4" ht="15">
      <c r="C4" s="63"/>
      <c r="D4" s="63"/>
    </row>
    <row r="5" spans="3:4" ht="15">
      <c r="C5" s="140" t="s">
        <v>601</v>
      </c>
      <c r="D5" s="140"/>
    </row>
    <row r="6" spans="3:4" ht="15">
      <c r="C6" s="79"/>
      <c r="D6" s="79"/>
    </row>
    <row r="7" spans="3:4" ht="15">
      <c r="C7" s="140" t="s">
        <v>601</v>
      </c>
      <c r="D7" s="140"/>
    </row>
    <row r="8" spans="3:4" ht="15">
      <c r="C8" s="79"/>
      <c r="D8" s="79"/>
    </row>
    <row r="9" spans="3:4" ht="15">
      <c r="C9" s="63" t="s">
        <v>602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43" t="str">
        <f>CONCATENATE("Дефектный акт ",IF(Source!AN15&lt;&gt;"",Source!AN15," "))</f>
        <v>Дефектный акт  </v>
      </c>
      <c r="B11" s="143"/>
      <c r="C11" s="143"/>
      <c r="D11" s="143"/>
      <c r="E11" s="14"/>
    </row>
    <row r="12" spans="1:30" ht="30">
      <c r="A12" s="144" t="str">
        <f>CONCATENATE("На капитальный ремонт ",Source!F12," ",Source!G12)</f>
        <v>На капитальный ремонт  Выполнение работ по текущему ремонту гранитной облицовки пола ИПУ РАН (главный вход, стрение 2)</v>
      </c>
      <c r="B12" s="144"/>
      <c r="C12" s="144"/>
      <c r="D12" s="144"/>
      <c r="E12" s="14"/>
      <c r="AD12" s="91" t="str">
        <f>CONCATENATE("На капитальный ремонт ",Source!F12," ",Source!G12)</f>
        <v>На капитальный ремонт  Выполнение работ по текущему ремонту гранитной облицовки пола ИПУ РАН (главный вход, стрение 2)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90" t="s">
        <v>609</v>
      </c>
      <c r="C14" s="14"/>
      <c r="D14" s="14"/>
      <c r="E14" s="14"/>
    </row>
    <row r="15" spans="1:5" ht="15">
      <c r="A15" s="14"/>
      <c r="B15" s="90" t="s">
        <v>610</v>
      </c>
      <c r="C15" s="14"/>
      <c r="D15" s="14"/>
      <c r="E15" s="14"/>
    </row>
    <row r="16" spans="1:5" ht="15">
      <c r="A16" s="14"/>
      <c r="B16" s="90" t="s">
        <v>611</v>
      </c>
      <c r="C16" s="14"/>
      <c r="D16" s="14"/>
      <c r="E16" s="14"/>
    </row>
    <row r="17" spans="1:5" ht="28.5">
      <c r="A17" s="81" t="s">
        <v>506</v>
      </c>
      <c r="B17" s="81" t="s">
        <v>508</v>
      </c>
      <c r="C17" s="81" t="s">
        <v>509</v>
      </c>
      <c r="D17" s="81" t="s">
        <v>510</v>
      </c>
      <c r="E17" s="82" t="s">
        <v>606</v>
      </c>
    </row>
    <row r="18" spans="1:5" ht="14.25">
      <c r="A18" s="92">
        <v>1</v>
      </c>
      <c r="B18" s="92">
        <v>2</v>
      </c>
      <c r="C18" s="92">
        <v>3</v>
      </c>
      <c r="D18" s="92">
        <v>4</v>
      </c>
      <c r="E18" s="93">
        <v>5</v>
      </c>
    </row>
    <row r="19" spans="1:5" ht="16.5">
      <c r="A19" s="139" t="str">
        <f>CONCATENATE("Локальная смета: ",Source!G20)</f>
        <v>Локальная смета: </v>
      </c>
      <c r="B19" s="139"/>
      <c r="C19" s="139"/>
      <c r="D19" s="139"/>
      <c r="E19" s="139"/>
    </row>
    <row r="20" spans="1:5" ht="16.5">
      <c r="A20" s="139" t="str">
        <f>CONCATENATE("Раздел: ",Source!G24)</f>
        <v>Раздел: Демонтажные работы</v>
      </c>
      <c r="B20" s="139"/>
      <c r="C20" s="139"/>
      <c r="D20" s="139"/>
      <c r="E20" s="139"/>
    </row>
    <row r="21" spans="1:5" ht="14.25">
      <c r="A21" s="98">
        <v>1</v>
      </c>
      <c r="B21" s="99" t="str">
        <f>Source!G28</f>
        <v>Разборка покрытий полов: из керамических плиток</v>
      </c>
      <c r="C21" s="100" t="str">
        <f>Source!H28</f>
        <v>100 м2</v>
      </c>
      <c r="D21" s="101">
        <f>Source!I28</f>
        <v>0.22</v>
      </c>
      <c r="E21" s="99"/>
    </row>
    <row r="22" spans="1:5" ht="14.25">
      <c r="A22" s="98">
        <v>1.1</v>
      </c>
      <c r="B22" s="99" t="str">
        <f>Source!G30</f>
        <v>Строительный мусор</v>
      </c>
      <c r="C22" s="100" t="str">
        <f>Source!H30</f>
        <v>т</v>
      </c>
      <c r="D22" s="101">
        <f>Source!I30</f>
        <v>0.44</v>
      </c>
      <c r="E22" s="99"/>
    </row>
    <row r="23" spans="1:5" ht="28.5">
      <c r="A23" s="98">
        <v>2</v>
      </c>
      <c r="B23" s="99" t="str">
        <f>Source!G32</f>
        <v>Разборка тротуаров и дорожек из плит с их отноской и укладкой в штабель</v>
      </c>
      <c r="C23" s="100" t="str">
        <f>Source!H32</f>
        <v>100 м2</v>
      </c>
      <c r="D23" s="101">
        <f>Source!I32</f>
        <v>1.733</v>
      </c>
      <c r="E23" s="99"/>
    </row>
    <row r="24" spans="1:5" ht="28.5">
      <c r="A24" s="98">
        <v>3</v>
      </c>
      <c r="B24" s="99" t="str">
        <f>Source!G34</f>
        <v>Разборка покрытий и оснований: цементно-песчанных (Применительно) (165,8 м2 * 0,05 м = 8,25 м3)</v>
      </c>
      <c r="C24" s="100" t="str">
        <f>Source!H34</f>
        <v>100 м3</v>
      </c>
      <c r="D24" s="101">
        <f>Source!I34</f>
        <v>0.0825</v>
      </c>
      <c r="E24" s="99"/>
    </row>
    <row r="25" spans="1:5" ht="14.25">
      <c r="A25" s="98">
        <v>4</v>
      </c>
      <c r="B25" s="99" t="str">
        <f>Source!G36</f>
        <v>Разборка бортовых камней: на бетонном основании</v>
      </c>
      <c r="C25" s="100" t="str">
        <f>Source!H36</f>
        <v>100 м</v>
      </c>
      <c r="D25" s="101">
        <f>Source!I36</f>
        <v>0.6</v>
      </c>
      <c r="E25" s="99"/>
    </row>
    <row r="26" spans="1:5" ht="16.5">
      <c r="A26" s="139" t="str">
        <f>CONCATENATE("Раздел: ",Source!G70)</f>
        <v>Раздел: Монтажные работы</v>
      </c>
      <c r="B26" s="139"/>
      <c r="C26" s="139"/>
      <c r="D26" s="139"/>
      <c r="E26" s="139"/>
    </row>
    <row r="27" spans="1:5" ht="14.25">
      <c r="A27" s="98">
        <v>5</v>
      </c>
      <c r="B27" s="99" t="str">
        <f>Source!G74</f>
        <v>Планировка участка: вручную</v>
      </c>
      <c r="C27" s="100" t="str">
        <f>Source!H74</f>
        <v>100 м2</v>
      </c>
      <c r="D27" s="101">
        <f>Source!I74</f>
        <v>1.733</v>
      </c>
      <c r="E27" s="99"/>
    </row>
    <row r="28" spans="1:5" ht="14.25">
      <c r="A28" s="98">
        <v>6</v>
      </c>
      <c r="B28" s="99" t="str">
        <f>Source!G76</f>
        <v>Уплотнение грунта пневматическими трамбовками, группа грунтов: 1-2</v>
      </c>
      <c r="C28" s="100" t="str">
        <f>Source!H76</f>
        <v>100 м3</v>
      </c>
      <c r="D28" s="101">
        <f>Source!I76</f>
        <v>0.16</v>
      </c>
      <c r="E28" s="99"/>
    </row>
    <row r="29" spans="1:5" ht="14.25">
      <c r="A29" s="98">
        <v>7</v>
      </c>
      <c r="B29" s="99" t="str">
        <f>Source!G78</f>
        <v>Устройство гидроизоляции из полиэтиленовой пленки,: первый слой</v>
      </c>
      <c r="C29" s="100" t="str">
        <f>Source!H78</f>
        <v>100 м2</v>
      </c>
      <c r="D29" s="101">
        <f>Source!I78</f>
        <v>1.733</v>
      </c>
      <c r="E29" s="99"/>
    </row>
    <row r="30" spans="1:5" ht="14.25">
      <c r="A30" s="98">
        <v>7.1</v>
      </c>
      <c r="B30" s="99" t="str">
        <f>Source!G80</f>
        <v>Мастика битумно-резиновая кровельная</v>
      </c>
      <c r="C30" s="100" t="str">
        <f>Source!H80</f>
        <v>т</v>
      </c>
      <c r="D30" s="101">
        <f>Source!I80</f>
        <v>-0.201028</v>
      </c>
      <c r="E30" s="99"/>
    </row>
    <row r="31" spans="1:5" ht="14.25">
      <c r="A31" s="98">
        <v>7.2</v>
      </c>
      <c r="B31" s="99" t="str">
        <f>Source!G82</f>
        <v>Бензин авиационный Б-70</v>
      </c>
      <c r="C31" s="100" t="str">
        <f>Source!H82</f>
        <v>т</v>
      </c>
      <c r="D31" s="101">
        <f>Source!I82</f>
        <v>-0.081451</v>
      </c>
      <c r="E31" s="99"/>
    </row>
    <row r="32" spans="1:5" ht="14.25">
      <c r="A32" s="98">
        <v>7.3</v>
      </c>
      <c r="B32" s="99" t="str">
        <f>Source!G84</f>
        <v>Раствор готовый кладочный, цементный, М100</v>
      </c>
      <c r="C32" s="100" t="str">
        <f>Source!H84</f>
        <v>м3</v>
      </c>
      <c r="D32" s="101">
        <f>Source!I84</f>
        <v>-0.53723</v>
      </c>
      <c r="E32" s="99"/>
    </row>
    <row r="33" spans="1:5" ht="14.25">
      <c r="A33" s="98">
        <v>7.4</v>
      </c>
      <c r="B33" s="99" t="str">
        <f>Source!G86</f>
        <v>Рубероид кровельный РКП-350</v>
      </c>
      <c r="C33" s="100" t="str">
        <f>Source!H86</f>
        <v>м2</v>
      </c>
      <c r="D33" s="101">
        <f>Source!I86</f>
        <v>-194.096</v>
      </c>
      <c r="E33" s="99"/>
    </row>
    <row r="34" spans="1:5" ht="14.25">
      <c r="A34" s="98">
        <v>7.5</v>
      </c>
      <c r="B34" s="99" t="str">
        <f>Source!G88</f>
        <v>Бутилкаучук, марка А</v>
      </c>
      <c r="C34" s="100" t="str">
        <f>Source!H88</f>
        <v>т</v>
      </c>
      <c r="D34" s="101">
        <f>Source!I88</f>
        <v>-0.010398</v>
      </c>
      <c r="E34" s="99"/>
    </row>
    <row r="35" spans="1:5" ht="14.25">
      <c r="A35" s="98">
        <v>7.6</v>
      </c>
      <c r="B35" s="99" t="str">
        <f>Source!G90</f>
        <v>Лак битумный БТ-783</v>
      </c>
      <c r="C35" s="100" t="str">
        <f>Source!H90</f>
        <v>т</v>
      </c>
      <c r="D35" s="101">
        <f>Source!I90</f>
        <v>-0.08665</v>
      </c>
      <c r="E35" s="99"/>
    </row>
    <row r="36" spans="1:5" ht="14.25">
      <c r="A36" s="98">
        <v>7.7</v>
      </c>
      <c r="B36" s="99" t="str">
        <f>Source!G92</f>
        <v>Ацетон технический, сорт I</v>
      </c>
      <c r="C36" s="100" t="str">
        <f>Source!H92</f>
        <v>т</v>
      </c>
      <c r="D36" s="101">
        <f>Source!I92</f>
        <v>-0.0019059999999999997</v>
      </c>
      <c r="E36" s="99"/>
    </row>
    <row r="37" spans="1:5" ht="14.25">
      <c r="A37" s="98">
        <v>8</v>
      </c>
      <c r="B37" s="99" t="str">
        <f>Source!G94</f>
        <v>Устройство бетонной подготовки</v>
      </c>
      <c r="C37" s="100" t="str">
        <f>Source!H94</f>
        <v>100 м3</v>
      </c>
      <c r="D37" s="101">
        <f>Source!I94</f>
        <v>0.138</v>
      </c>
      <c r="E37" s="99"/>
    </row>
    <row r="38" spans="1:5" ht="14.25">
      <c r="A38" s="98">
        <v>8.1</v>
      </c>
      <c r="B38" s="99" t="str">
        <f>Source!G96</f>
        <v>Смеси бетонные тяжелого бетона (БСТ), класс В25 (М350)</v>
      </c>
      <c r="C38" s="100" t="str">
        <f>Source!H96</f>
        <v>м3</v>
      </c>
      <c r="D38" s="101">
        <f>Source!I96</f>
        <v>14.077586000000002</v>
      </c>
      <c r="E38" s="99"/>
    </row>
    <row r="39" spans="1:5" ht="14.25">
      <c r="A39" s="98">
        <v>8.2</v>
      </c>
      <c r="B39" s="99" t="str">
        <f>Source!G98</f>
        <v>Добавка "Суперпластификатор С-3"</v>
      </c>
      <c r="C39" s="100" t="str">
        <f>Source!H98</f>
        <v>кг</v>
      </c>
      <c r="D39" s="101">
        <f>Source!I98</f>
        <v>24</v>
      </c>
      <c r="E39" s="99"/>
    </row>
    <row r="40" spans="1:5" ht="28.5">
      <c r="A40" s="98">
        <v>9</v>
      </c>
      <c r="B40" s="99" t="str">
        <f>Source!G100</f>
        <v>Укладка металлической сетки в цементобетонное дорожное покрытие в два слоя (Применительно)</v>
      </c>
      <c r="C40" s="100" t="str">
        <f>Source!H100</f>
        <v>1000 м2</v>
      </c>
      <c r="D40" s="101">
        <f>Source!I100</f>
        <v>0.1733</v>
      </c>
      <c r="E40" s="99"/>
    </row>
    <row r="41" spans="1:5" ht="28.5">
      <c r="A41" s="98">
        <v>9.1</v>
      </c>
      <c r="B41" s="99" t="str">
        <f>Source!G102</f>
        <v>Сетка сварная с ячейкой 10 из арматурной стали класса А-I и А-II, диаметр 5 мм</v>
      </c>
      <c r="C41" s="100" t="str">
        <f>Source!H102</f>
        <v>т</v>
      </c>
      <c r="D41" s="101">
        <f>Source!I102</f>
        <v>1.075655</v>
      </c>
      <c r="E41" s="99"/>
    </row>
    <row r="42" spans="1:5" ht="28.5">
      <c r="A42" s="98">
        <v>10</v>
      </c>
      <c r="B42" s="99" t="str">
        <f>Source!G104</f>
        <v>Гидроизоляция основания: горизонтальная цементная с жидким стеклом (Применительно)</v>
      </c>
      <c r="C42" s="100" t="str">
        <f>Source!H104</f>
        <v>100 м2</v>
      </c>
      <c r="D42" s="101">
        <f>Source!I104</f>
        <v>1.733</v>
      </c>
      <c r="E42" s="99"/>
    </row>
    <row r="43" spans="1:5" ht="14.25">
      <c r="A43" s="98">
        <v>10.1</v>
      </c>
      <c r="B43" s="99" t="str">
        <f>Source!G106</f>
        <v>Раствор готовый кладочный цементный тяжелый</v>
      </c>
      <c r="C43" s="100" t="str">
        <f>Source!H106</f>
        <v>м3</v>
      </c>
      <c r="D43" s="101">
        <f>Source!I106</f>
        <v>5.3723</v>
      </c>
      <c r="E43" s="99"/>
    </row>
    <row r="44" spans="1:5" ht="14.25">
      <c r="A44" s="98">
        <v>11</v>
      </c>
      <c r="B44" s="99" t="str">
        <f>Source!G108</f>
        <v>Установка бортовых камней бетонных: при цементобетонных покрытиях</v>
      </c>
      <c r="C44" s="100" t="str">
        <f>Source!H108</f>
        <v>100 м</v>
      </c>
      <c r="D44" s="101">
        <f>Source!I108</f>
        <v>0.6</v>
      </c>
      <c r="E44" s="99"/>
    </row>
    <row r="45" spans="1:5" ht="28.5">
      <c r="A45" s="98">
        <v>12</v>
      </c>
      <c r="B45" s="99" t="str">
        <f>Source!G110</f>
        <v>Устройство покрытий из гранитных  трермообраборатнных плит (Применительно)</v>
      </c>
      <c r="C45" s="100" t="str">
        <f>Source!H110</f>
        <v>100 м2</v>
      </c>
      <c r="D45" s="101">
        <f>Source!I110</f>
        <v>1.733</v>
      </c>
      <c r="E45" s="99"/>
    </row>
    <row r="46" spans="1:5" ht="14.25">
      <c r="A46" s="98">
        <v>12.1</v>
      </c>
      <c r="B46" s="99" t="str">
        <f>Source!G112</f>
        <v>Плиты облицовочные, гранитные, класс 1,  толщина 30 мм</v>
      </c>
      <c r="C46" s="100" t="str">
        <f>Source!H112</f>
        <v>м2</v>
      </c>
      <c r="D46" s="101">
        <f>Source!I112</f>
        <v>182.315607</v>
      </c>
      <c r="E46" s="99"/>
    </row>
    <row r="47" spans="1:5" ht="14.25">
      <c r="A47" s="98">
        <v>12.2</v>
      </c>
      <c r="B47" s="99" t="str">
        <f>Source!G114</f>
        <v>Клей для плитки Ветонит "Клей для мраморной плитки"</v>
      </c>
      <c r="C47" s="100" t="str">
        <f>Source!H114</f>
        <v>т</v>
      </c>
      <c r="D47" s="101">
        <f>Source!I114</f>
        <v>1.69316</v>
      </c>
      <c r="E47" s="99"/>
    </row>
    <row r="48" spans="1:5" ht="28.5">
      <c r="A48" s="98">
        <v>12.3</v>
      </c>
      <c r="B48" s="99" t="str">
        <f>Source!G116</f>
        <v>Смеси сухие водостойкие для затирки межплиточных швов шириной 1-6 мм (различная цветовая гамма)</v>
      </c>
      <c r="C48" s="100" t="str">
        <f>Source!H116</f>
        <v>т</v>
      </c>
      <c r="D48" s="101">
        <f>Source!I116</f>
        <v>0.15627</v>
      </c>
      <c r="E48" s="99"/>
    </row>
    <row r="49" spans="1:5" ht="14.25">
      <c r="A49" s="98">
        <v>13</v>
      </c>
      <c r="B49" s="99" t="str">
        <f>Source!G118</f>
        <v>Устройство покрытий из плит керамогранитных размером: 40х40 см</v>
      </c>
      <c r="C49" s="100" t="str">
        <f>Source!H118</f>
        <v>100 м2</v>
      </c>
      <c r="D49" s="101">
        <f>Source!I118</f>
        <v>0.22</v>
      </c>
      <c r="E49" s="99"/>
    </row>
    <row r="50" spans="1:5" ht="14.25">
      <c r="A50" s="98">
        <v>13.1</v>
      </c>
      <c r="B50" s="99" t="str">
        <f>Source!G120</f>
        <v>Плитка керамогранитная, размер 400x400x9 мм</v>
      </c>
      <c r="C50" s="100" t="str">
        <f>Source!H120</f>
        <v>м2</v>
      </c>
      <c r="D50" s="101">
        <f>Source!I120</f>
        <v>23.1</v>
      </c>
      <c r="E50" s="99"/>
    </row>
    <row r="51" spans="1:5" ht="14.25">
      <c r="A51" s="98">
        <v>13.2</v>
      </c>
      <c r="B51" s="99" t="str">
        <f>Source!G122</f>
        <v>Рейки дубовые, толщина 5-7 мм</v>
      </c>
      <c r="C51" s="100" t="str">
        <f>Source!H122</f>
        <v>м3</v>
      </c>
      <c r="D51" s="101">
        <f>Source!I122</f>
        <v>0.0022</v>
      </c>
      <c r="E51" s="99"/>
    </row>
    <row r="52" spans="1:5" ht="14.25">
      <c r="A52" s="98">
        <v>13.3</v>
      </c>
      <c r="B52" s="99" t="str">
        <f>Source!G124</f>
        <v>Клей для плитки (сухая смесь)</v>
      </c>
      <c r="C52" s="100" t="str">
        <f>Source!H124</f>
        <v>т</v>
      </c>
      <c r="D52" s="101">
        <f>Source!I124</f>
        <v>0.264</v>
      </c>
      <c r="E52" s="99"/>
    </row>
    <row r="53" spans="1:5" ht="28.5">
      <c r="A53" s="98">
        <v>13.4</v>
      </c>
      <c r="B53" s="99" t="str">
        <f>Source!G126</f>
        <v>Грунтовка укрепляющая, глубокого проникновения, быстросохнущая, паропроницаемая</v>
      </c>
      <c r="C53" s="100" t="str">
        <f>Source!H126</f>
        <v>кг</v>
      </c>
      <c r="D53" s="101">
        <f>Source!I126</f>
        <v>4.5</v>
      </c>
      <c r="E53" s="99"/>
    </row>
    <row r="54" spans="1:5" ht="16.5">
      <c r="A54" s="139" t="str">
        <f>CONCATENATE("Раздел: ",Source!G160)</f>
        <v>Раздел: Разные работы</v>
      </c>
      <c r="B54" s="139"/>
      <c r="C54" s="139"/>
      <c r="D54" s="139"/>
      <c r="E54" s="139"/>
    </row>
    <row r="55" spans="1:5" ht="28.5">
      <c r="A55" s="98">
        <v>14</v>
      </c>
      <c r="B55" s="99" t="str">
        <f>Source!G164</f>
        <v>Погрузочные работы при автомобильных перевозках мусора строительного с погрузкой вручную</v>
      </c>
      <c r="C55" s="100" t="str">
        <f>Source!H164</f>
        <v>1 Т ГРУЗА</v>
      </c>
      <c r="D55" s="101">
        <f>Source!I164</f>
        <v>17.78</v>
      </c>
      <c r="E55" s="99"/>
    </row>
    <row r="56" spans="1:5" ht="28.5">
      <c r="A56" s="94">
        <v>15</v>
      </c>
      <c r="B56" s="95" t="str">
        <f>Source!G166</f>
        <v>Перевозка грузов I класса автомобилями бортовыми грузоподъемностью до 15 т на расстояние: до 61 км</v>
      </c>
      <c r="C56" s="96" t="str">
        <f>Source!H166</f>
        <v>1 Т ГРУЗА</v>
      </c>
      <c r="D56" s="97">
        <f>Source!I166</f>
        <v>17.78</v>
      </c>
      <c r="E56" s="95"/>
    </row>
    <row r="59" spans="1:5" ht="15">
      <c r="A59" s="55" t="s">
        <v>612</v>
      </c>
      <c r="B59" s="55"/>
      <c r="C59" s="55" t="s">
        <v>613</v>
      </c>
      <c r="D59" s="55"/>
      <c r="E59" s="55"/>
    </row>
  </sheetData>
  <sheetProtection/>
  <mergeCells count="8">
    <mergeCell ref="A26:E26"/>
    <mergeCell ref="A54:E54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04"/>
  <sheetViews>
    <sheetView zoomScalePageLayoutView="0" workbookViewId="0" topLeftCell="A1">
      <selection activeCell="A300" sqref="A300:AN300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298</v>
      </c>
      <c r="C12" s="1">
        <v>0</v>
      </c>
      <c r="D12" s="1">
        <f>ROW(A234)</f>
        <v>234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479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B234</f>
        <v>298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текущему ремонту гранитной облицовки пола ИПУ РАН (главный вход, стрение 2)</v>
      </c>
      <c r="H18" s="3"/>
      <c r="I18" s="3"/>
      <c r="J18" s="3"/>
      <c r="K18" s="3"/>
      <c r="L18" s="3"/>
      <c r="M18" s="3"/>
      <c r="N18" s="3"/>
      <c r="O18" s="3">
        <f aca="true" t="shared" si="1" ref="O18:AT18">O234</f>
        <v>143354.75</v>
      </c>
      <c r="P18" s="3">
        <f t="shared" si="1"/>
        <v>132624.83</v>
      </c>
      <c r="Q18" s="3">
        <f t="shared" si="1"/>
        <v>1945.14</v>
      </c>
      <c r="R18" s="3">
        <f t="shared" si="1"/>
        <v>321.25</v>
      </c>
      <c r="S18" s="3">
        <f t="shared" si="1"/>
        <v>8784.78</v>
      </c>
      <c r="T18" s="3">
        <f t="shared" si="1"/>
        <v>0</v>
      </c>
      <c r="U18" s="3">
        <f t="shared" si="1"/>
        <v>970.8064895</v>
      </c>
      <c r="V18" s="3">
        <f t="shared" si="1"/>
        <v>28.759895</v>
      </c>
      <c r="W18" s="3">
        <f t="shared" si="1"/>
        <v>0</v>
      </c>
      <c r="X18" s="3">
        <f t="shared" si="1"/>
        <v>10404.97</v>
      </c>
      <c r="Y18" s="3">
        <f t="shared" si="1"/>
        <v>7413.96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162412.41</v>
      </c>
      <c r="AS18" s="3">
        <f t="shared" si="1"/>
        <v>162412.41</v>
      </c>
      <c r="AT18" s="3">
        <f t="shared" si="1"/>
        <v>0</v>
      </c>
      <c r="AU18" s="3">
        <f aca="true" t="shared" si="2" ref="AU18:BZ18">AU234</f>
        <v>0</v>
      </c>
      <c r="AV18" s="3">
        <f t="shared" si="2"/>
        <v>132624.83</v>
      </c>
      <c r="AW18" s="3">
        <f t="shared" si="2"/>
        <v>132624.83</v>
      </c>
      <c r="AX18" s="3">
        <f t="shared" si="2"/>
        <v>0</v>
      </c>
      <c r="AY18" s="3">
        <f t="shared" si="2"/>
        <v>132624.83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1238.73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CA234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DG234</f>
        <v>143354.75</v>
      </c>
      <c r="DH18" s="4">
        <f t="shared" si="4"/>
        <v>132624.83</v>
      </c>
      <c r="DI18" s="4">
        <f t="shared" si="4"/>
        <v>1945.14</v>
      </c>
      <c r="DJ18" s="4">
        <f t="shared" si="4"/>
        <v>321.25</v>
      </c>
      <c r="DK18" s="4">
        <f t="shared" si="4"/>
        <v>8784.78</v>
      </c>
      <c r="DL18" s="4">
        <f t="shared" si="4"/>
        <v>0</v>
      </c>
      <c r="DM18" s="4">
        <f t="shared" si="4"/>
        <v>970.8064895</v>
      </c>
      <c r="DN18" s="4">
        <f t="shared" si="4"/>
        <v>28.759895</v>
      </c>
      <c r="DO18" s="4">
        <f t="shared" si="4"/>
        <v>0</v>
      </c>
      <c r="DP18" s="4">
        <f t="shared" si="4"/>
        <v>10404.97</v>
      </c>
      <c r="DQ18" s="4">
        <f t="shared" si="4"/>
        <v>7413.96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162412.41</v>
      </c>
      <c r="EK18" s="4">
        <f t="shared" si="4"/>
        <v>162412.41</v>
      </c>
      <c r="EL18" s="4">
        <f t="shared" si="4"/>
        <v>0</v>
      </c>
      <c r="EM18" s="4">
        <f aca="true" t="shared" si="5" ref="EM18:FR18">EM234</f>
        <v>0</v>
      </c>
      <c r="EN18" s="4">
        <f t="shared" si="5"/>
        <v>132624.83</v>
      </c>
      <c r="EO18" s="4">
        <f t="shared" si="5"/>
        <v>132624.83</v>
      </c>
      <c r="EP18" s="4">
        <f t="shared" si="5"/>
        <v>0</v>
      </c>
      <c r="EQ18" s="4">
        <f t="shared" si="5"/>
        <v>132624.83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1238.73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FS234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ROW(A200)</f>
        <v>200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55463413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19</v>
      </c>
      <c r="AC20" s="1" t="s">
        <v>20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B200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O200</f>
        <v>143354.75</v>
      </c>
      <c r="P22" s="3">
        <f t="shared" si="8"/>
        <v>132624.83</v>
      </c>
      <c r="Q22" s="3">
        <f t="shared" si="8"/>
        <v>1945.14</v>
      </c>
      <c r="R22" s="3">
        <f t="shared" si="8"/>
        <v>321.25</v>
      </c>
      <c r="S22" s="3">
        <f t="shared" si="8"/>
        <v>8784.78</v>
      </c>
      <c r="T22" s="3">
        <f t="shared" si="8"/>
        <v>0</v>
      </c>
      <c r="U22" s="3">
        <f t="shared" si="8"/>
        <v>970.8064895</v>
      </c>
      <c r="V22" s="3">
        <f t="shared" si="8"/>
        <v>28.759895</v>
      </c>
      <c r="W22" s="3">
        <f t="shared" si="8"/>
        <v>0</v>
      </c>
      <c r="X22" s="3">
        <f t="shared" si="8"/>
        <v>10404.97</v>
      </c>
      <c r="Y22" s="3">
        <f t="shared" si="8"/>
        <v>7413.96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162412.41</v>
      </c>
      <c r="AS22" s="3">
        <f t="shared" si="8"/>
        <v>162412.41</v>
      </c>
      <c r="AT22" s="3">
        <f t="shared" si="8"/>
        <v>0</v>
      </c>
      <c r="AU22" s="3">
        <f aca="true" t="shared" si="9" ref="AU22:BZ22">AU200</f>
        <v>0</v>
      </c>
      <c r="AV22" s="3">
        <f t="shared" si="9"/>
        <v>132624.83</v>
      </c>
      <c r="AW22" s="3">
        <f t="shared" si="9"/>
        <v>132624.83</v>
      </c>
      <c r="AX22" s="3">
        <f t="shared" si="9"/>
        <v>0</v>
      </c>
      <c r="AY22" s="3">
        <f t="shared" si="9"/>
        <v>132624.83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1238.73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CA200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DG200</f>
        <v>143354.75</v>
      </c>
      <c r="DH22" s="4">
        <f t="shared" si="11"/>
        <v>132624.83</v>
      </c>
      <c r="DI22" s="4">
        <f t="shared" si="11"/>
        <v>1945.14</v>
      </c>
      <c r="DJ22" s="4">
        <f t="shared" si="11"/>
        <v>321.25</v>
      </c>
      <c r="DK22" s="4">
        <f t="shared" si="11"/>
        <v>8784.78</v>
      </c>
      <c r="DL22" s="4">
        <f t="shared" si="11"/>
        <v>0</v>
      </c>
      <c r="DM22" s="4">
        <f t="shared" si="11"/>
        <v>970.8064895</v>
      </c>
      <c r="DN22" s="4">
        <f t="shared" si="11"/>
        <v>28.759895</v>
      </c>
      <c r="DO22" s="4">
        <f t="shared" si="11"/>
        <v>0</v>
      </c>
      <c r="DP22" s="4">
        <f t="shared" si="11"/>
        <v>10404.97</v>
      </c>
      <c r="DQ22" s="4">
        <f t="shared" si="11"/>
        <v>7413.96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162412.41</v>
      </c>
      <c r="EK22" s="4">
        <f t="shared" si="11"/>
        <v>162412.41</v>
      </c>
      <c r="EL22" s="4">
        <f t="shared" si="11"/>
        <v>0</v>
      </c>
      <c r="EM22" s="4">
        <f aca="true" t="shared" si="12" ref="EM22:FR22">EM200</f>
        <v>0</v>
      </c>
      <c r="EN22" s="4">
        <f t="shared" si="12"/>
        <v>132624.83</v>
      </c>
      <c r="EO22" s="4">
        <f t="shared" si="12"/>
        <v>132624.83</v>
      </c>
      <c r="EP22" s="4">
        <f t="shared" si="12"/>
        <v>0</v>
      </c>
      <c r="EQ22" s="4">
        <f t="shared" si="12"/>
        <v>132624.83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1238.73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FS200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ROW(A39)</f>
        <v>39</v>
      </c>
      <c r="E24" s="1"/>
      <c r="F24" s="1" t="s">
        <v>3</v>
      </c>
      <c r="G24" s="1" t="s">
        <v>21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55463413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B39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>
        <f t="shared" si="14"/>
      </c>
      <c r="G26" s="3" t="str">
        <f t="shared" si="14"/>
        <v>Демонтажные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O39</f>
        <v>939.96</v>
      </c>
      <c r="P26" s="3">
        <f t="shared" si="15"/>
        <v>0</v>
      </c>
      <c r="Q26" s="3">
        <f t="shared" si="15"/>
        <v>104.68</v>
      </c>
      <c r="R26" s="3">
        <f t="shared" si="15"/>
        <v>16.23</v>
      </c>
      <c r="S26" s="3">
        <f t="shared" si="15"/>
        <v>835.28</v>
      </c>
      <c r="T26" s="3">
        <f t="shared" si="15"/>
        <v>0</v>
      </c>
      <c r="U26" s="3">
        <f t="shared" si="15"/>
        <v>104.75059</v>
      </c>
      <c r="V26" s="3">
        <f t="shared" si="15"/>
        <v>1.202025</v>
      </c>
      <c r="W26" s="3">
        <f t="shared" si="15"/>
        <v>0</v>
      </c>
      <c r="X26" s="3">
        <f t="shared" si="15"/>
        <v>979.54</v>
      </c>
      <c r="Y26" s="3">
        <f t="shared" si="15"/>
        <v>707.29</v>
      </c>
      <c r="Z26" s="3">
        <f t="shared" si="15"/>
        <v>0</v>
      </c>
      <c r="AA26" s="3">
        <f t="shared" si="15"/>
        <v>0</v>
      </c>
      <c r="AB26" s="3">
        <f t="shared" si="15"/>
        <v>939.96</v>
      </c>
      <c r="AC26" s="3">
        <f t="shared" si="15"/>
        <v>0</v>
      </c>
      <c r="AD26" s="3">
        <f t="shared" si="15"/>
        <v>104.68</v>
      </c>
      <c r="AE26" s="3">
        <f t="shared" si="15"/>
        <v>16.23</v>
      </c>
      <c r="AF26" s="3">
        <f t="shared" si="15"/>
        <v>835.28</v>
      </c>
      <c r="AG26" s="3">
        <f t="shared" si="15"/>
        <v>0</v>
      </c>
      <c r="AH26" s="3">
        <f t="shared" si="15"/>
        <v>104.75059</v>
      </c>
      <c r="AI26" s="3">
        <f t="shared" si="15"/>
        <v>1.202025</v>
      </c>
      <c r="AJ26" s="3">
        <f t="shared" si="15"/>
        <v>0</v>
      </c>
      <c r="AK26" s="3">
        <f t="shared" si="15"/>
        <v>979.54</v>
      </c>
      <c r="AL26" s="3">
        <f t="shared" si="15"/>
        <v>707.29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2626.79</v>
      </c>
      <c r="AS26" s="3">
        <f t="shared" si="15"/>
        <v>2626.79</v>
      </c>
      <c r="AT26" s="3">
        <f t="shared" si="15"/>
        <v>0</v>
      </c>
      <c r="AU26" s="3">
        <f aca="true" t="shared" si="16" ref="AU26:BZ26">AU39</f>
        <v>0</v>
      </c>
      <c r="AV26" s="3">
        <f t="shared" si="16"/>
        <v>0</v>
      </c>
      <c r="AW26" s="3">
        <f t="shared" si="16"/>
        <v>0</v>
      </c>
      <c r="AX26" s="3">
        <f t="shared" si="16"/>
        <v>0</v>
      </c>
      <c r="AY26" s="3">
        <f t="shared" si="16"/>
        <v>0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CA39</f>
        <v>2626.79</v>
      </c>
      <c r="CB26" s="3">
        <f t="shared" si="17"/>
        <v>2626.79</v>
      </c>
      <c r="CC26" s="3">
        <f t="shared" si="17"/>
        <v>0</v>
      </c>
      <c r="CD26" s="3">
        <f t="shared" si="17"/>
        <v>0</v>
      </c>
      <c r="CE26" s="3">
        <f t="shared" si="17"/>
        <v>0</v>
      </c>
      <c r="CF26" s="3">
        <f t="shared" si="17"/>
        <v>0</v>
      </c>
      <c r="CG26" s="3">
        <f t="shared" si="17"/>
        <v>0</v>
      </c>
      <c r="CH26" s="3">
        <f t="shared" si="17"/>
        <v>0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DG39</f>
        <v>939.96</v>
      </c>
      <c r="DH26" s="4">
        <f t="shared" si="18"/>
        <v>0</v>
      </c>
      <c r="DI26" s="4">
        <f t="shared" si="18"/>
        <v>104.68</v>
      </c>
      <c r="DJ26" s="4">
        <f t="shared" si="18"/>
        <v>16.23</v>
      </c>
      <c r="DK26" s="4">
        <f t="shared" si="18"/>
        <v>835.28</v>
      </c>
      <c r="DL26" s="4">
        <f t="shared" si="18"/>
        <v>0</v>
      </c>
      <c r="DM26" s="4">
        <f t="shared" si="18"/>
        <v>104.75059</v>
      </c>
      <c r="DN26" s="4">
        <f t="shared" si="18"/>
        <v>1.202025</v>
      </c>
      <c r="DO26" s="4">
        <f t="shared" si="18"/>
        <v>0</v>
      </c>
      <c r="DP26" s="4">
        <f t="shared" si="18"/>
        <v>979.54</v>
      </c>
      <c r="DQ26" s="4">
        <f t="shared" si="18"/>
        <v>707.29</v>
      </c>
      <c r="DR26" s="4">
        <f t="shared" si="18"/>
        <v>0</v>
      </c>
      <c r="DS26" s="4">
        <f t="shared" si="18"/>
        <v>0</v>
      </c>
      <c r="DT26" s="4">
        <f t="shared" si="18"/>
        <v>939.96</v>
      </c>
      <c r="DU26" s="4">
        <f t="shared" si="18"/>
        <v>0</v>
      </c>
      <c r="DV26" s="4">
        <f t="shared" si="18"/>
        <v>104.68</v>
      </c>
      <c r="DW26" s="4">
        <f t="shared" si="18"/>
        <v>16.23</v>
      </c>
      <c r="DX26" s="4">
        <f t="shared" si="18"/>
        <v>835.28</v>
      </c>
      <c r="DY26" s="4">
        <f t="shared" si="18"/>
        <v>0</v>
      </c>
      <c r="DZ26" s="4">
        <f t="shared" si="18"/>
        <v>104.75059</v>
      </c>
      <c r="EA26" s="4">
        <f t="shared" si="18"/>
        <v>1.202025</v>
      </c>
      <c r="EB26" s="4">
        <f t="shared" si="18"/>
        <v>0</v>
      </c>
      <c r="EC26" s="4">
        <f t="shared" si="18"/>
        <v>979.54</v>
      </c>
      <c r="ED26" s="4">
        <f t="shared" si="18"/>
        <v>707.29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2626.79</v>
      </c>
      <c r="EK26" s="4">
        <f t="shared" si="18"/>
        <v>2626.79</v>
      </c>
      <c r="EL26" s="4">
        <f t="shared" si="18"/>
        <v>0</v>
      </c>
      <c r="EM26" s="4">
        <f aca="true" t="shared" si="19" ref="EM26:FR26">EM39</f>
        <v>0</v>
      </c>
      <c r="EN26" s="4">
        <f t="shared" si="19"/>
        <v>0</v>
      </c>
      <c r="EO26" s="4">
        <f t="shared" si="19"/>
        <v>0</v>
      </c>
      <c r="EP26" s="4">
        <f t="shared" si="19"/>
        <v>0</v>
      </c>
      <c r="EQ26" s="4">
        <f t="shared" si="19"/>
        <v>0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FS39</f>
        <v>2626.79</v>
      </c>
      <c r="FT26" s="4">
        <f t="shared" si="20"/>
        <v>2626.79</v>
      </c>
      <c r="FU26" s="4">
        <f t="shared" si="20"/>
        <v>0</v>
      </c>
      <c r="FV26" s="4">
        <f t="shared" si="20"/>
        <v>0</v>
      </c>
      <c r="FW26" s="4">
        <f t="shared" si="20"/>
        <v>0</v>
      </c>
      <c r="FX26" s="4">
        <f t="shared" si="20"/>
        <v>0</v>
      </c>
      <c r="FY26" s="4">
        <f t="shared" si="20"/>
        <v>0</v>
      </c>
      <c r="FZ26" s="4">
        <f t="shared" si="20"/>
        <v>0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ROW(SmtRes!A4)</f>
        <v>4</v>
      </c>
      <c r="D28" s="2">
        <f>ROW(EtalonRes!A4)</f>
        <v>4</v>
      </c>
      <c r="E28" s="2" t="s">
        <v>22</v>
      </c>
      <c r="F28" s="2" t="s">
        <v>23</v>
      </c>
      <c r="G28" s="2" t="s">
        <v>24</v>
      </c>
      <c r="H28" s="2" t="s">
        <v>25</v>
      </c>
      <c r="I28" s="2">
        <f>ROUND(22/100,7)</f>
        <v>0.22</v>
      </c>
      <c r="J28" s="2">
        <v>0</v>
      </c>
      <c r="K28" s="2">
        <f>ROUND(22/100,7)</f>
        <v>0.22</v>
      </c>
      <c r="L28" s="2"/>
      <c r="M28" s="2"/>
      <c r="N28" s="2"/>
      <c r="O28" s="2">
        <f aca="true" t="shared" si="21" ref="O28:O37">ROUND(CP28,2)</f>
        <v>141.02</v>
      </c>
      <c r="P28" s="2">
        <f aca="true" t="shared" si="22" ref="P28:P37">ROUND(CQ28*I28,2)</f>
        <v>0</v>
      </c>
      <c r="Q28" s="2">
        <f aca="true" t="shared" si="23" ref="Q28:Q37">ROUND(CR28*I28,2)</f>
        <v>9.9</v>
      </c>
      <c r="R28" s="2">
        <f aca="true" t="shared" si="24" ref="R28:R37">ROUND(CS28*I28,2)</f>
        <v>4.28</v>
      </c>
      <c r="S28" s="2">
        <f aca="true" t="shared" si="25" ref="S28:S37">ROUND(CT28*I28,2)</f>
        <v>131.12</v>
      </c>
      <c r="T28" s="2">
        <f aca="true" t="shared" si="26" ref="T28:T37">ROUND(CU28*I28,2)</f>
        <v>0</v>
      </c>
      <c r="U28" s="2">
        <f aca="true" t="shared" si="27" ref="U28:U37">CV28*I28</f>
        <v>15.371400000000001</v>
      </c>
      <c r="V28" s="2">
        <f aca="true" t="shared" si="28" ref="V28:V37">CW28*I28</f>
        <v>0.31679999999999997</v>
      </c>
      <c r="W28" s="2">
        <f aca="true" t="shared" si="29" ref="W28:W37">ROUND(CX28*I28,2)</f>
        <v>0</v>
      </c>
      <c r="X28" s="2">
        <f aca="true" t="shared" si="30" ref="X28:X37">ROUND(CY28,2)</f>
        <v>120.51</v>
      </c>
      <c r="Y28" s="2">
        <f aca="true" t="shared" si="31" ref="Y28:Y37">ROUND(CZ28,2)</f>
        <v>66.35</v>
      </c>
      <c r="Z28" s="2"/>
      <c r="AA28" s="2">
        <v>55463411</v>
      </c>
      <c r="AB28" s="2">
        <f aca="true" t="shared" si="32" ref="AB28:AB37">ROUND((AC28+AD28+AF28),2)</f>
        <v>641</v>
      </c>
      <c r="AC28" s="2">
        <f aca="true" t="shared" si="33" ref="AC28:AC37">ROUND((ES28),2)</f>
        <v>0</v>
      </c>
      <c r="AD28" s="2">
        <f aca="true" t="shared" si="34" ref="AD28:AD35">ROUND((((ET28)-(EU28))+AE28),2)</f>
        <v>45.01</v>
      </c>
      <c r="AE28" s="2">
        <f aca="true" t="shared" si="35" ref="AE28:AF35">ROUND((EU28),2)</f>
        <v>19.44</v>
      </c>
      <c r="AF28" s="2">
        <f t="shared" si="35"/>
        <v>595.99</v>
      </c>
      <c r="AG28" s="2">
        <f aca="true" t="shared" si="36" ref="AG28:AG37">ROUND((AP28),2)</f>
        <v>0</v>
      </c>
      <c r="AH28" s="2">
        <f aca="true" t="shared" si="37" ref="AH28:AI35">(EW28)</f>
        <v>69.87</v>
      </c>
      <c r="AI28" s="2">
        <f t="shared" si="37"/>
        <v>1.44</v>
      </c>
      <c r="AJ28" s="2">
        <f aca="true" t="shared" si="38" ref="AJ28:AJ37">(AS28)</f>
        <v>0</v>
      </c>
      <c r="AK28" s="2">
        <v>641</v>
      </c>
      <c r="AL28" s="2">
        <v>0</v>
      </c>
      <c r="AM28" s="2">
        <v>45.01</v>
      </c>
      <c r="AN28" s="2">
        <v>19.44</v>
      </c>
      <c r="AO28" s="2">
        <v>595.99</v>
      </c>
      <c r="AP28" s="2">
        <v>0</v>
      </c>
      <c r="AQ28" s="2">
        <v>69.87</v>
      </c>
      <c r="AR28" s="2">
        <v>1.44</v>
      </c>
      <c r="AS28" s="2">
        <v>0</v>
      </c>
      <c r="AT28" s="2">
        <v>89</v>
      </c>
      <c r="AU28" s="2">
        <v>49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26</v>
      </c>
      <c r="BK28" s="2"/>
      <c r="BL28" s="2"/>
      <c r="BM28" s="2">
        <v>57001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89</v>
      </c>
      <c r="CA28" s="2">
        <v>49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9" ref="CP28:CP37">(P28+Q28+S28)</f>
        <v>141.02</v>
      </c>
      <c r="CQ28" s="2">
        <f aca="true" t="shared" si="40" ref="CQ28:CQ37">AC28*BC28</f>
        <v>0</v>
      </c>
      <c r="CR28" s="2">
        <f aca="true" t="shared" si="41" ref="CR28:CR35">(((ET28)*BB28-(EU28))+AE28)</f>
        <v>45.01</v>
      </c>
      <c r="CS28" s="2">
        <f aca="true" t="shared" si="42" ref="CS28:CS37">AE28</f>
        <v>19.44</v>
      </c>
      <c r="CT28" s="2">
        <f aca="true" t="shared" si="43" ref="CT28:CT37">AF28</f>
        <v>595.99</v>
      </c>
      <c r="CU28" s="2">
        <f aca="true" t="shared" si="44" ref="CU28:CU37">AG28</f>
        <v>0</v>
      </c>
      <c r="CV28" s="2">
        <f aca="true" t="shared" si="45" ref="CV28:CV37">AH28</f>
        <v>69.87</v>
      </c>
      <c r="CW28" s="2">
        <f aca="true" t="shared" si="46" ref="CW28:CW37">AI28</f>
        <v>1.44</v>
      </c>
      <c r="CX28" s="2">
        <f aca="true" t="shared" si="47" ref="CX28:CX37">AJ28</f>
        <v>0</v>
      </c>
      <c r="CY28" s="2">
        <f aca="true" t="shared" si="48" ref="CY28:CY37">(((S28+R28)*AT28)/100)</f>
        <v>120.506</v>
      </c>
      <c r="CZ28" s="2">
        <f aca="true" t="shared" si="49" ref="CZ28:CZ37">(((S28+R28)*AU28)/100)</f>
        <v>66.346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25</v>
      </c>
      <c r="DW28" s="2" t="s">
        <v>25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55471785</v>
      </c>
      <c r="EF28" s="2">
        <v>6</v>
      </c>
      <c r="EG28" s="2" t="s">
        <v>27</v>
      </c>
      <c r="EH28" s="2">
        <v>11</v>
      </c>
      <c r="EI28" s="2" t="s">
        <v>28</v>
      </c>
      <c r="EJ28" s="2">
        <v>1</v>
      </c>
      <c r="EK28" s="2">
        <v>57001</v>
      </c>
      <c r="EL28" s="2" t="s">
        <v>28</v>
      </c>
      <c r="EM28" s="2" t="s">
        <v>29</v>
      </c>
      <c r="EN28" s="2"/>
      <c r="EO28" s="2" t="s">
        <v>3</v>
      </c>
      <c r="EP28" s="2"/>
      <c r="EQ28" s="2">
        <v>0</v>
      </c>
      <c r="ER28" s="2">
        <v>641</v>
      </c>
      <c r="ES28" s="2">
        <v>0</v>
      </c>
      <c r="ET28" s="2">
        <v>45.01</v>
      </c>
      <c r="EU28" s="2">
        <v>19.44</v>
      </c>
      <c r="EV28" s="2">
        <v>595.99</v>
      </c>
      <c r="EW28" s="2">
        <v>69.87</v>
      </c>
      <c r="EX28" s="2">
        <v>1.44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50" ref="FR28:FR37">ROUND(IF(AND(BH28=3,BI28=3),P28,0),2)</f>
        <v>0</v>
      </c>
      <c r="FS28" s="2">
        <v>0</v>
      </c>
      <c r="FT28" s="2"/>
      <c r="FU28" s="2"/>
      <c r="FV28" s="2"/>
      <c r="FW28" s="2"/>
      <c r="FX28" s="2">
        <v>89</v>
      </c>
      <c r="FY28" s="2">
        <v>49</v>
      </c>
      <c r="FZ28" s="2"/>
      <c r="GA28" s="2" t="s">
        <v>3</v>
      </c>
      <c r="GB28" s="2"/>
      <c r="GC28" s="2"/>
      <c r="GD28" s="2">
        <v>1</v>
      </c>
      <c r="GE28" s="2"/>
      <c r="GF28" s="2">
        <v>913237570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51" ref="GL28:GL37">ROUND(IF(AND(BH28=3,BI28=3,FS28&lt;&gt;0),P28,0),2)</f>
        <v>0</v>
      </c>
      <c r="GM28" s="2">
        <f aca="true" t="shared" si="52" ref="GM28:GM37">ROUND(O28+X28+Y28,2)+GX28</f>
        <v>327.88</v>
      </c>
      <c r="GN28" s="2">
        <f aca="true" t="shared" si="53" ref="GN28:GN37">IF(OR(BI28=0,BI28=1),ROUND(O28+X28+Y28,2),0)</f>
        <v>327.88</v>
      </c>
      <c r="GO28" s="2">
        <f aca="true" t="shared" si="54" ref="GO28:GO37">IF(BI28=2,ROUND(O28+X28+Y28,2),0)</f>
        <v>0</v>
      </c>
      <c r="GP28" s="2">
        <f aca="true" t="shared" si="55" ref="GP28:GP37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6" ref="GV28:GV37">ROUND((GT28),2)</f>
        <v>0</v>
      </c>
      <c r="GW28" s="2">
        <v>1</v>
      </c>
      <c r="GX28" s="2">
        <f aca="true" t="shared" si="57" ref="GX28:GX37">ROUND(HC28*I28,2)</f>
        <v>0</v>
      </c>
      <c r="GY28" s="2"/>
      <c r="GZ28" s="2"/>
      <c r="HA28" s="2">
        <v>0</v>
      </c>
      <c r="HB28" s="2">
        <v>0</v>
      </c>
      <c r="HC28" s="2">
        <f aca="true" t="shared" si="58" ref="HC28:HC37">GV28*GW28</f>
        <v>0</v>
      </c>
      <c r="HD28" s="2"/>
      <c r="HE28" s="2" t="s">
        <v>3</v>
      </c>
      <c r="HF28" s="2" t="s">
        <v>3</v>
      </c>
      <c r="HG28" s="2"/>
      <c r="HH28" s="2"/>
      <c r="HI28" s="2">
        <f aca="true" t="shared" si="59" ref="HI28:HI37">ROUND(R28*BS28,2)</f>
        <v>4.28</v>
      </c>
      <c r="HJ28" s="2">
        <f aca="true" t="shared" si="60" ref="HJ28:HJ37">ROUND(S28*BA28,2)</f>
        <v>131.12</v>
      </c>
      <c r="HK28" s="2">
        <f aca="true" t="shared" si="61" ref="HK28:HK37">ROUND((((HJ28+HI28)*AT28)/100),2)</f>
        <v>120.51</v>
      </c>
      <c r="HL28" s="2">
        <f aca="true" t="shared" si="62" ref="HL28:HL37">ROUND((((HJ28+HI28)*AU28)/100),2)</f>
        <v>66.35</v>
      </c>
      <c r="HM28" s="2" t="s">
        <v>3</v>
      </c>
      <c r="HN28" s="2" t="s">
        <v>30</v>
      </c>
      <c r="HO28" s="2" t="s">
        <v>31</v>
      </c>
      <c r="HP28" s="2" t="s">
        <v>28</v>
      </c>
      <c r="HQ28" s="2" t="s">
        <v>28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ROW(SmtRes!A8)</f>
        <v>8</v>
      </c>
      <c r="D29">
        <f>ROW(EtalonRes!A8)</f>
        <v>8</v>
      </c>
      <c r="E29" t="s">
        <v>22</v>
      </c>
      <c r="F29" t="s">
        <v>23</v>
      </c>
      <c r="G29" t="s">
        <v>24</v>
      </c>
      <c r="H29" t="s">
        <v>25</v>
      </c>
      <c r="I29">
        <f>ROUND(22/100,7)</f>
        <v>0.22</v>
      </c>
      <c r="J29">
        <v>0</v>
      </c>
      <c r="K29">
        <f>ROUND(22/100,7)</f>
        <v>0.22</v>
      </c>
      <c r="O29">
        <f t="shared" si="21"/>
        <v>141.02</v>
      </c>
      <c r="P29">
        <f t="shared" si="22"/>
        <v>0</v>
      </c>
      <c r="Q29">
        <f t="shared" si="23"/>
        <v>9.9</v>
      </c>
      <c r="R29">
        <f t="shared" si="24"/>
        <v>4.28</v>
      </c>
      <c r="S29">
        <f t="shared" si="25"/>
        <v>131.12</v>
      </c>
      <c r="T29">
        <f t="shared" si="26"/>
        <v>0</v>
      </c>
      <c r="U29">
        <f t="shared" si="27"/>
        <v>15.371400000000001</v>
      </c>
      <c r="V29">
        <f t="shared" si="28"/>
        <v>0.31679999999999997</v>
      </c>
      <c r="W29">
        <f t="shared" si="29"/>
        <v>0</v>
      </c>
      <c r="X29">
        <f t="shared" si="30"/>
        <v>120.51</v>
      </c>
      <c r="Y29">
        <f t="shared" si="31"/>
        <v>66.35</v>
      </c>
      <c r="AA29">
        <v>55463412</v>
      </c>
      <c r="AB29">
        <f t="shared" si="32"/>
        <v>641</v>
      </c>
      <c r="AC29">
        <f t="shared" si="33"/>
        <v>0</v>
      </c>
      <c r="AD29">
        <f t="shared" si="34"/>
        <v>45.01</v>
      </c>
      <c r="AE29">
        <f t="shared" si="35"/>
        <v>19.44</v>
      </c>
      <c r="AF29">
        <f t="shared" si="35"/>
        <v>595.99</v>
      </c>
      <c r="AG29">
        <f t="shared" si="36"/>
        <v>0</v>
      </c>
      <c r="AH29">
        <f t="shared" si="37"/>
        <v>69.87</v>
      </c>
      <c r="AI29">
        <f t="shared" si="37"/>
        <v>1.44</v>
      </c>
      <c r="AJ29">
        <f t="shared" si="38"/>
        <v>0</v>
      </c>
      <c r="AK29">
        <v>641</v>
      </c>
      <c r="AL29">
        <v>0</v>
      </c>
      <c r="AM29">
        <v>45.01</v>
      </c>
      <c r="AN29">
        <v>19.44</v>
      </c>
      <c r="AO29">
        <v>595.99</v>
      </c>
      <c r="AP29">
        <v>0</v>
      </c>
      <c r="AQ29">
        <v>69.87</v>
      </c>
      <c r="AR29">
        <v>1.44</v>
      </c>
      <c r="AS29">
        <v>0</v>
      </c>
      <c r="AT29">
        <v>89</v>
      </c>
      <c r="AU29">
        <v>49</v>
      </c>
      <c r="AV29">
        <v>1</v>
      </c>
      <c r="AW29">
        <v>1</v>
      </c>
      <c r="AZ29">
        <v>1</v>
      </c>
      <c r="BA29">
        <v>36.47</v>
      </c>
      <c r="BB29">
        <v>1</v>
      </c>
      <c r="BC29">
        <v>1</v>
      </c>
      <c r="BH29">
        <v>0</v>
      </c>
      <c r="BI29">
        <v>1</v>
      </c>
      <c r="BJ29" t="s">
        <v>26</v>
      </c>
      <c r="BM29">
        <v>57001</v>
      </c>
      <c r="BN29">
        <v>0</v>
      </c>
      <c r="BO29" t="s">
        <v>32</v>
      </c>
      <c r="BP29">
        <v>1</v>
      </c>
      <c r="BQ29">
        <v>6</v>
      </c>
      <c r="BR29">
        <v>0</v>
      </c>
      <c r="BS29">
        <v>36.47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</v>
      </c>
      <c r="CA29">
        <v>49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9"/>
        <v>141.02</v>
      </c>
      <c r="CQ29">
        <f t="shared" si="40"/>
        <v>0</v>
      </c>
      <c r="CR29">
        <f t="shared" si="41"/>
        <v>45.01</v>
      </c>
      <c r="CS29">
        <f t="shared" si="42"/>
        <v>19.44</v>
      </c>
      <c r="CT29">
        <f t="shared" si="43"/>
        <v>595.99</v>
      </c>
      <c r="CU29">
        <f t="shared" si="44"/>
        <v>0</v>
      </c>
      <c r="CV29">
        <f t="shared" si="45"/>
        <v>69.87</v>
      </c>
      <c r="CW29">
        <f t="shared" si="46"/>
        <v>1.44</v>
      </c>
      <c r="CX29">
        <f t="shared" si="47"/>
        <v>0</v>
      </c>
      <c r="CY29">
        <f t="shared" si="48"/>
        <v>120.506</v>
      </c>
      <c r="CZ29">
        <f t="shared" si="49"/>
        <v>66.346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25</v>
      </c>
      <c r="DW29" t="s">
        <v>25</v>
      </c>
      <c r="DX29">
        <v>100</v>
      </c>
      <c r="EE29">
        <v>55471785</v>
      </c>
      <c r="EF29">
        <v>6</v>
      </c>
      <c r="EG29" t="s">
        <v>27</v>
      </c>
      <c r="EH29">
        <v>11</v>
      </c>
      <c r="EI29" t="s">
        <v>28</v>
      </c>
      <c r="EJ29">
        <v>1</v>
      </c>
      <c r="EK29">
        <v>57001</v>
      </c>
      <c r="EL29" t="s">
        <v>28</v>
      </c>
      <c r="EM29" t="s">
        <v>29</v>
      </c>
      <c r="EQ29">
        <v>0</v>
      </c>
      <c r="ER29">
        <v>641</v>
      </c>
      <c r="ES29">
        <v>0</v>
      </c>
      <c r="ET29">
        <v>45.01</v>
      </c>
      <c r="EU29">
        <v>19.44</v>
      </c>
      <c r="EV29">
        <v>595.99</v>
      </c>
      <c r="EW29">
        <v>69.87</v>
      </c>
      <c r="EX29">
        <v>1.44</v>
      </c>
      <c r="EY29">
        <v>0</v>
      </c>
      <c r="FQ29">
        <v>0</v>
      </c>
      <c r="FR29">
        <f t="shared" si="50"/>
        <v>0</v>
      </c>
      <c r="FS29">
        <v>0</v>
      </c>
      <c r="FX29">
        <v>89</v>
      </c>
      <c r="FY29">
        <v>49</v>
      </c>
      <c r="GD29">
        <v>1</v>
      </c>
      <c r="GF29">
        <v>913237570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1"/>
        <v>0</v>
      </c>
      <c r="GM29">
        <f t="shared" si="52"/>
        <v>327.88</v>
      </c>
      <c r="GN29">
        <f t="shared" si="53"/>
        <v>327.88</v>
      </c>
      <c r="GO29">
        <f t="shared" si="54"/>
        <v>0</v>
      </c>
      <c r="GP29">
        <f t="shared" si="55"/>
        <v>0</v>
      </c>
      <c r="GR29">
        <v>0</v>
      </c>
      <c r="GS29">
        <v>0</v>
      </c>
      <c r="GT29">
        <v>0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HI29">
        <f t="shared" si="59"/>
        <v>156.09</v>
      </c>
      <c r="HJ29">
        <f t="shared" si="60"/>
        <v>4781.95</v>
      </c>
      <c r="HK29">
        <f t="shared" si="61"/>
        <v>4394.86</v>
      </c>
      <c r="HL29">
        <f t="shared" si="62"/>
        <v>2419.64</v>
      </c>
      <c r="HN29" t="s">
        <v>30</v>
      </c>
      <c r="HO29" t="s">
        <v>31</v>
      </c>
      <c r="HP29" t="s">
        <v>28</v>
      </c>
      <c r="HQ29" t="s">
        <v>28</v>
      </c>
      <c r="IK29">
        <v>0</v>
      </c>
    </row>
    <row r="30" spans="1:255" ht="12.75">
      <c r="A30" s="2">
        <v>18</v>
      </c>
      <c r="B30" s="2">
        <v>1</v>
      </c>
      <c r="C30" s="2">
        <v>4</v>
      </c>
      <c r="D30" s="2"/>
      <c r="E30" s="2" t="s">
        <v>33</v>
      </c>
      <c r="F30" s="2" t="s">
        <v>34</v>
      </c>
      <c r="G30" s="2" t="s">
        <v>35</v>
      </c>
      <c r="H30" s="2" t="s">
        <v>36</v>
      </c>
      <c r="I30" s="2">
        <f>I28*J30</f>
        <v>0.44</v>
      </c>
      <c r="J30" s="2">
        <v>2</v>
      </c>
      <c r="K30" s="2">
        <v>2</v>
      </c>
      <c r="L30" s="2"/>
      <c r="M30" s="2"/>
      <c r="N30" s="2"/>
      <c r="O30" s="2">
        <f t="shared" si="21"/>
        <v>0</v>
      </c>
      <c r="P30" s="2">
        <f t="shared" si="22"/>
        <v>0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55463411</v>
      </c>
      <c r="AB30" s="2">
        <f t="shared" si="32"/>
        <v>0</v>
      </c>
      <c r="AC30" s="2">
        <f t="shared" si="33"/>
        <v>0</v>
      </c>
      <c r="AD30" s="2">
        <f t="shared" si="34"/>
        <v>0</v>
      </c>
      <c r="AE30" s="2">
        <f t="shared" si="35"/>
        <v>0</v>
      </c>
      <c r="AF30" s="2">
        <f t="shared" si="35"/>
        <v>0</v>
      </c>
      <c r="AG30" s="2">
        <f t="shared" si="36"/>
        <v>0</v>
      </c>
      <c r="AH30" s="2">
        <f t="shared" si="37"/>
        <v>0</v>
      </c>
      <c r="AI30" s="2">
        <f t="shared" si="37"/>
        <v>0</v>
      </c>
      <c r="AJ30" s="2">
        <f t="shared" si="38"/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89</v>
      </c>
      <c r="AU30" s="2">
        <v>49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57001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89</v>
      </c>
      <c r="CA30" s="2">
        <v>49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9"/>
        <v>0</v>
      </c>
      <c r="CQ30" s="2">
        <f t="shared" si="40"/>
        <v>0</v>
      </c>
      <c r="CR30" s="2">
        <f t="shared" si="41"/>
        <v>0</v>
      </c>
      <c r="CS30" s="2">
        <f t="shared" si="42"/>
        <v>0</v>
      </c>
      <c r="CT30" s="2">
        <f t="shared" si="43"/>
        <v>0</v>
      </c>
      <c r="CU30" s="2">
        <f t="shared" si="44"/>
        <v>0</v>
      </c>
      <c r="CV30" s="2">
        <f t="shared" si="45"/>
        <v>0</v>
      </c>
      <c r="CW30" s="2">
        <f t="shared" si="46"/>
        <v>0</v>
      </c>
      <c r="CX30" s="2">
        <f t="shared" si="47"/>
        <v>0</v>
      </c>
      <c r="CY30" s="2">
        <f t="shared" si="48"/>
        <v>0</v>
      </c>
      <c r="CZ30" s="2">
        <f t="shared" si="49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36</v>
      </c>
      <c r="DW30" s="2" t="s">
        <v>36</v>
      </c>
      <c r="DX30" s="2">
        <v>1000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55471785</v>
      </c>
      <c r="EF30" s="2">
        <v>6</v>
      </c>
      <c r="EG30" s="2" t="s">
        <v>27</v>
      </c>
      <c r="EH30" s="2">
        <v>11</v>
      </c>
      <c r="EI30" s="2" t="s">
        <v>28</v>
      </c>
      <c r="EJ30" s="2">
        <v>1</v>
      </c>
      <c r="EK30" s="2">
        <v>57001</v>
      </c>
      <c r="EL30" s="2" t="s">
        <v>28</v>
      </c>
      <c r="EM30" s="2" t="s">
        <v>29</v>
      </c>
      <c r="EN30" s="2"/>
      <c r="EO30" s="2" t="s">
        <v>3</v>
      </c>
      <c r="EP30" s="2"/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50"/>
        <v>0</v>
      </c>
      <c r="FS30" s="2">
        <v>0</v>
      </c>
      <c r="FT30" s="2"/>
      <c r="FU30" s="2"/>
      <c r="FV30" s="2"/>
      <c r="FW30" s="2"/>
      <c r="FX30" s="2">
        <v>89</v>
      </c>
      <c r="FY30" s="2">
        <v>49</v>
      </c>
      <c r="FZ30" s="2"/>
      <c r="GA30" s="2" t="s">
        <v>3</v>
      </c>
      <c r="GB30" s="2"/>
      <c r="GC30" s="2"/>
      <c r="GD30" s="2">
        <v>1</v>
      </c>
      <c r="GE30" s="2"/>
      <c r="GF30" s="2">
        <v>2102561428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51"/>
        <v>0</v>
      </c>
      <c r="GM30" s="2">
        <f t="shared" si="52"/>
        <v>0</v>
      </c>
      <c r="GN30" s="2">
        <f t="shared" si="53"/>
        <v>0</v>
      </c>
      <c r="GO30" s="2">
        <f t="shared" si="54"/>
        <v>0</v>
      </c>
      <c r="GP30" s="2">
        <f t="shared" si="55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6"/>
        <v>0</v>
      </c>
      <c r="GW30" s="2">
        <v>1</v>
      </c>
      <c r="GX30" s="2">
        <f t="shared" si="57"/>
        <v>0</v>
      </c>
      <c r="GY30" s="2"/>
      <c r="GZ30" s="2"/>
      <c r="HA30" s="2">
        <v>0</v>
      </c>
      <c r="HB30" s="2">
        <v>0</v>
      </c>
      <c r="HC30" s="2">
        <f t="shared" si="58"/>
        <v>0</v>
      </c>
      <c r="HD30" s="2"/>
      <c r="HE30" s="2" t="s">
        <v>3</v>
      </c>
      <c r="HF30" s="2" t="s">
        <v>3</v>
      </c>
      <c r="HG30" s="2"/>
      <c r="HH30" s="2"/>
      <c r="HI30" s="2">
        <f t="shared" si="59"/>
        <v>0</v>
      </c>
      <c r="HJ30" s="2">
        <f t="shared" si="60"/>
        <v>0</v>
      </c>
      <c r="HK30" s="2">
        <f t="shared" si="61"/>
        <v>0</v>
      </c>
      <c r="HL30" s="2">
        <f t="shared" si="62"/>
        <v>0</v>
      </c>
      <c r="HM30" s="2" t="s">
        <v>3</v>
      </c>
      <c r="HN30" s="2" t="s">
        <v>30</v>
      </c>
      <c r="HO30" s="2" t="s">
        <v>31</v>
      </c>
      <c r="HP30" s="2" t="s">
        <v>28</v>
      </c>
      <c r="HQ30" s="2" t="s">
        <v>28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8</v>
      </c>
      <c r="E31" t="s">
        <v>33</v>
      </c>
      <c r="F31" t="s">
        <v>34</v>
      </c>
      <c r="G31" t="s">
        <v>35</v>
      </c>
      <c r="H31" t="s">
        <v>36</v>
      </c>
      <c r="I31">
        <f>I29*J31</f>
        <v>0.44</v>
      </c>
      <c r="J31">
        <v>2</v>
      </c>
      <c r="K31">
        <v>2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55463412</v>
      </c>
      <c r="AB31">
        <f t="shared" si="32"/>
        <v>0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0</v>
      </c>
      <c r="AG31">
        <f t="shared" si="36"/>
        <v>0</v>
      </c>
      <c r="AH31">
        <f t="shared" si="37"/>
        <v>0</v>
      </c>
      <c r="AI31">
        <f t="shared" si="37"/>
        <v>0</v>
      </c>
      <c r="AJ31">
        <f t="shared" si="38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89</v>
      </c>
      <c r="AU31">
        <v>49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57001</v>
      </c>
      <c r="BN31">
        <v>0</v>
      </c>
      <c r="BO31" t="s">
        <v>32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89</v>
      </c>
      <c r="CA31">
        <v>49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9"/>
        <v>0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0</v>
      </c>
      <c r="CU31">
        <f t="shared" si="44"/>
        <v>0</v>
      </c>
      <c r="CV31">
        <f t="shared" si="45"/>
        <v>0</v>
      </c>
      <c r="CW31">
        <f t="shared" si="46"/>
        <v>0</v>
      </c>
      <c r="CX31">
        <f t="shared" si="47"/>
        <v>0</v>
      </c>
      <c r="CY31">
        <f t="shared" si="48"/>
        <v>0</v>
      </c>
      <c r="CZ31">
        <f t="shared" si="49"/>
        <v>0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36</v>
      </c>
      <c r="DW31" t="s">
        <v>36</v>
      </c>
      <c r="DX31">
        <v>1000</v>
      </c>
      <c r="EE31">
        <v>55471785</v>
      </c>
      <c r="EF31">
        <v>6</v>
      </c>
      <c r="EG31" t="s">
        <v>27</v>
      </c>
      <c r="EH31">
        <v>11</v>
      </c>
      <c r="EI31" t="s">
        <v>28</v>
      </c>
      <c r="EJ31">
        <v>1</v>
      </c>
      <c r="EK31">
        <v>57001</v>
      </c>
      <c r="EL31" t="s">
        <v>28</v>
      </c>
      <c r="EM31" t="s">
        <v>29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0"/>
        <v>0</v>
      </c>
      <c r="FS31">
        <v>0</v>
      </c>
      <c r="FX31">
        <v>89</v>
      </c>
      <c r="FY31">
        <v>49</v>
      </c>
      <c r="GD31">
        <v>1</v>
      </c>
      <c r="GF31">
        <v>2102561428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1"/>
        <v>0</v>
      </c>
      <c r="GM31">
        <f t="shared" si="52"/>
        <v>0</v>
      </c>
      <c r="GN31">
        <f t="shared" si="53"/>
        <v>0</v>
      </c>
      <c r="GO31">
        <f t="shared" si="54"/>
        <v>0</v>
      </c>
      <c r="GP31">
        <f t="shared" si="55"/>
        <v>0</v>
      </c>
      <c r="GR31">
        <v>0</v>
      </c>
      <c r="GS31">
        <v>0</v>
      </c>
      <c r="GT31">
        <v>0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I31">
        <f t="shared" si="59"/>
        <v>0</v>
      </c>
      <c r="HJ31">
        <f t="shared" si="60"/>
        <v>0</v>
      </c>
      <c r="HK31">
        <f t="shared" si="61"/>
        <v>0</v>
      </c>
      <c r="HL31">
        <f t="shared" si="62"/>
        <v>0</v>
      </c>
      <c r="HN31" t="s">
        <v>30</v>
      </c>
      <c r="HO31" t="s">
        <v>31</v>
      </c>
      <c r="HP31" t="s">
        <v>28</v>
      </c>
      <c r="HQ31" t="s">
        <v>28</v>
      </c>
      <c r="IK31">
        <v>0</v>
      </c>
    </row>
    <row r="32" spans="1:255" ht="12.75">
      <c r="A32" s="2">
        <v>17</v>
      </c>
      <c r="B32" s="2">
        <v>1</v>
      </c>
      <c r="C32" s="2">
        <f>ROW(SmtRes!A9)</f>
        <v>9</v>
      </c>
      <c r="D32" s="2">
        <f>ROW(EtalonRes!A9)</f>
        <v>9</v>
      </c>
      <c r="E32" s="2" t="s">
        <v>37</v>
      </c>
      <c r="F32" s="2" t="s">
        <v>38</v>
      </c>
      <c r="G32" s="2" t="s">
        <v>39</v>
      </c>
      <c r="H32" s="2" t="s">
        <v>25</v>
      </c>
      <c r="I32" s="2">
        <f>ROUND(173.3/100,7)</f>
        <v>1.733</v>
      </c>
      <c r="J32" s="2">
        <v>0</v>
      </c>
      <c r="K32" s="2">
        <f>ROUND(173.3/100,7)</f>
        <v>1.733</v>
      </c>
      <c r="L32" s="2"/>
      <c r="M32" s="2"/>
      <c r="N32" s="2"/>
      <c r="O32" s="2">
        <f t="shared" si="21"/>
        <v>246.68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246.68</v>
      </c>
      <c r="T32" s="2">
        <f t="shared" si="26"/>
        <v>0</v>
      </c>
      <c r="U32" s="2">
        <f t="shared" si="27"/>
        <v>32.372440000000005</v>
      </c>
      <c r="V32" s="2">
        <f t="shared" si="28"/>
        <v>0</v>
      </c>
      <c r="W32" s="2">
        <f t="shared" si="29"/>
        <v>0</v>
      </c>
      <c r="X32" s="2">
        <f t="shared" si="30"/>
        <v>251.61</v>
      </c>
      <c r="Y32" s="2">
        <f t="shared" si="31"/>
        <v>133.21</v>
      </c>
      <c r="Z32" s="2"/>
      <c r="AA32" s="2">
        <v>55463411</v>
      </c>
      <c r="AB32" s="2">
        <f t="shared" si="32"/>
        <v>142.34</v>
      </c>
      <c r="AC32" s="2">
        <f t="shared" si="33"/>
        <v>0</v>
      </c>
      <c r="AD32" s="2">
        <f t="shared" si="34"/>
        <v>0</v>
      </c>
      <c r="AE32" s="2">
        <f t="shared" si="35"/>
        <v>0</v>
      </c>
      <c r="AF32" s="2">
        <f t="shared" si="35"/>
        <v>142.34</v>
      </c>
      <c r="AG32" s="2">
        <f t="shared" si="36"/>
        <v>0</v>
      </c>
      <c r="AH32" s="2">
        <f t="shared" si="37"/>
        <v>18.68</v>
      </c>
      <c r="AI32" s="2">
        <f t="shared" si="37"/>
        <v>0</v>
      </c>
      <c r="AJ32" s="2">
        <f t="shared" si="38"/>
        <v>0</v>
      </c>
      <c r="AK32" s="2">
        <v>142.34</v>
      </c>
      <c r="AL32" s="2">
        <v>0</v>
      </c>
      <c r="AM32" s="2">
        <v>0</v>
      </c>
      <c r="AN32" s="2">
        <v>0</v>
      </c>
      <c r="AO32" s="2">
        <v>142.34</v>
      </c>
      <c r="AP32" s="2">
        <v>0</v>
      </c>
      <c r="AQ32" s="2">
        <v>18.68</v>
      </c>
      <c r="AR32" s="2">
        <v>0</v>
      </c>
      <c r="AS32" s="2">
        <v>0</v>
      </c>
      <c r="AT32" s="2">
        <v>102</v>
      </c>
      <c r="AU32" s="2">
        <v>54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40</v>
      </c>
      <c r="BK32" s="2"/>
      <c r="BL32" s="2"/>
      <c r="BM32" s="2">
        <v>68001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102</v>
      </c>
      <c r="CA32" s="2">
        <v>54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9"/>
        <v>246.68</v>
      </c>
      <c r="CQ32" s="2">
        <f t="shared" si="40"/>
        <v>0</v>
      </c>
      <c r="CR32" s="2">
        <f t="shared" si="41"/>
        <v>0</v>
      </c>
      <c r="CS32" s="2">
        <f t="shared" si="42"/>
        <v>0</v>
      </c>
      <c r="CT32" s="2">
        <f t="shared" si="43"/>
        <v>142.34</v>
      </c>
      <c r="CU32" s="2">
        <f t="shared" si="44"/>
        <v>0</v>
      </c>
      <c r="CV32" s="2">
        <f t="shared" si="45"/>
        <v>18.68</v>
      </c>
      <c r="CW32" s="2">
        <f t="shared" si="46"/>
        <v>0</v>
      </c>
      <c r="CX32" s="2">
        <f t="shared" si="47"/>
        <v>0</v>
      </c>
      <c r="CY32" s="2">
        <f t="shared" si="48"/>
        <v>251.61360000000002</v>
      </c>
      <c r="CZ32" s="2">
        <f t="shared" si="49"/>
        <v>133.2072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25</v>
      </c>
      <c r="DW32" s="2" t="s">
        <v>25</v>
      </c>
      <c r="DX32" s="2">
        <v>100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55471846</v>
      </c>
      <c r="EF32" s="2">
        <v>6</v>
      </c>
      <c r="EG32" s="2" t="s">
        <v>27</v>
      </c>
      <c r="EH32" s="2">
        <v>102</v>
      </c>
      <c r="EI32" s="2" t="s">
        <v>41</v>
      </c>
      <c r="EJ32" s="2">
        <v>1</v>
      </c>
      <c r="EK32" s="2">
        <v>68001</v>
      </c>
      <c r="EL32" s="2" t="s">
        <v>41</v>
      </c>
      <c r="EM32" s="2" t="s">
        <v>42</v>
      </c>
      <c r="EN32" s="2"/>
      <c r="EO32" s="2" t="s">
        <v>3</v>
      </c>
      <c r="EP32" s="2"/>
      <c r="EQ32" s="2">
        <v>0</v>
      </c>
      <c r="ER32" s="2">
        <v>142.34</v>
      </c>
      <c r="ES32" s="2">
        <v>0</v>
      </c>
      <c r="ET32" s="2">
        <v>0</v>
      </c>
      <c r="EU32" s="2">
        <v>0</v>
      </c>
      <c r="EV32" s="2">
        <v>142.34</v>
      </c>
      <c r="EW32" s="2">
        <v>18.68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50"/>
        <v>0</v>
      </c>
      <c r="FS32" s="2">
        <v>0</v>
      </c>
      <c r="FT32" s="2"/>
      <c r="FU32" s="2"/>
      <c r="FV32" s="2"/>
      <c r="FW32" s="2"/>
      <c r="FX32" s="2">
        <v>102</v>
      </c>
      <c r="FY32" s="2">
        <v>54</v>
      </c>
      <c r="FZ32" s="2"/>
      <c r="GA32" s="2" t="s">
        <v>3</v>
      </c>
      <c r="GB32" s="2"/>
      <c r="GC32" s="2"/>
      <c r="GD32" s="2">
        <v>1</v>
      </c>
      <c r="GE32" s="2"/>
      <c r="GF32" s="2">
        <v>1244667973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51"/>
        <v>0</v>
      </c>
      <c r="GM32" s="2">
        <f t="shared" si="52"/>
        <v>631.5</v>
      </c>
      <c r="GN32" s="2">
        <f t="shared" si="53"/>
        <v>631.5</v>
      </c>
      <c r="GO32" s="2">
        <f t="shared" si="54"/>
        <v>0</v>
      </c>
      <c r="GP32" s="2">
        <f t="shared" si="55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6"/>
        <v>0</v>
      </c>
      <c r="GW32" s="2">
        <v>1</v>
      </c>
      <c r="GX32" s="2">
        <f t="shared" si="57"/>
        <v>0</v>
      </c>
      <c r="GY32" s="2"/>
      <c r="GZ32" s="2"/>
      <c r="HA32" s="2">
        <v>0</v>
      </c>
      <c r="HB32" s="2">
        <v>0</v>
      </c>
      <c r="HC32" s="2">
        <f t="shared" si="58"/>
        <v>0</v>
      </c>
      <c r="HD32" s="2"/>
      <c r="HE32" s="2" t="s">
        <v>3</v>
      </c>
      <c r="HF32" s="2" t="s">
        <v>3</v>
      </c>
      <c r="HG32" s="2"/>
      <c r="HH32" s="2"/>
      <c r="HI32" s="2">
        <f t="shared" si="59"/>
        <v>0</v>
      </c>
      <c r="HJ32" s="2">
        <f t="shared" si="60"/>
        <v>246.68</v>
      </c>
      <c r="HK32" s="2">
        <f t="shared" si="61"/>
        <v>251.61</v>
      </c>
      <c r="HL32" s="2">
        <f t="shared" si="62"/>
        <v>133.21</v>
      </c>
      <c r="HM32" s="2" t="s">
        <v>3</v>
      </c>
      <c r="HN32" s="2" t="s">
        <v>43</v>
      </c>
      <c r="HO32" s="2" t="s">
        <v>44</v>
      </c>
      <c r="HP32" s="2" t="s">
        <v>41</v>
      </c>
      <c r="HQ32" s="2" t="s">
        <v>41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17</v>
      </c>
      <c r="B33">
        <v>1</v>
      </c>
      <c r="C33">
        <f>ROW(SmtRes!A10)</f>
        <v>10</v>
      </c>
      <c r="D33">
        <f>ROW(EtalonRes!A10)</f>
        <v>10</v>
      </c>
      <c r="E33" t="s">
        <v>37</v>
      </c>
      <c r="F33" t="s">
        <v>38</v>
      </c>
      <c r="G33" t="s">
        <v>39</v>
      </c>
      <c r="H33" t="s">
        <v>25</v>
      </c>
      <c r="I33">
        <f>ROUND(173.3/100,7)</f>
        <v>1.733</v>
      </c>
      <c r="J33">
        <v>0</v>
      </c>
      <c r="K33">
        <f>ROUND(173.3/100,7)</f>
        <v>1.733</v>
      </c>
      <c r="O33">
        <f t="shared" si="21"/>
        <v>246.68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246.68</v>
      </c>
      <c r="T33">
        <f t="shared" si="26"/>
        <v>0</v>
      </c>
      <c r="U33">
        <f t="shared" si="27"/>
        <v>32.372440000000005</v>
      </c>
      <c r="V33">
        <f t="shared" si="28"/>
        <v>0</v>
      </c>
      <c r="W33">
        <f t="shared" si="29"/>
        <v>0</v>
      </c>
      <c r="X33">
        <f t="shared" si="30"/>
        <v>251.61</v>
      </c>
      <c r="Y33">
        <f t="shared" si="31"/>
        <v>133.21</v>
      </c>
      <c r="AA33">
        <v>55463412</v>
      </c>
      <c r="AB33">
        <f t="shared" si="32"/>
        <v>142.34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5"/>
        <v>142.34</v>
      </c>
      <c r="AG33">
        <f t="shared" si="36"/>
        <v>0</v>
      </c>
      <c r="AH33">
        <f t="shared" si="37"/>
        <v>18.68</v>
      </c>
      <c r="AI33">
        <f t="shared" si="37"/>
        <v>0</v>
      </c>
      <c r="AJ33">
        <f t="shared" si="38"/>
        <v>0</v>
      </c>
      <c r="AK33">
        <v>142.34</v>
      </c>
      <c r="AL33">
        <v>0</v>
      </c>
      <c r="AM33">
        <v>0</v>
      </c>
      <c r="AN33">
        <v>0</v>
      </c>
      <c r="AO33">
        <v>142.34</v>
      </c>
      <c r="AP33">
        <v>0</v>
      </c>
      <c r="AQ33">
        <v>18.68</v>
      </c>
      <c r="AR33">
        <v>0</v>
      </c>
      <c r="AS33">
        <v>0</v>
      </c>
      <c r="AT33">
        <v>102</v>
      </c>
      <c r="AU33">
        <v>54</v>
      </c>
      <c r="AV33">
        <v>1</v>
      </c>
      <c r="AW33">
        <v>1</v>
      </c>
      <c r="AZ33">
        <v>1</v>
      </c>
      <c r="BA33">
        <v>36.47</v>
      </c>
      <c r="BB33">
        <v>1</v>
      </c>
      <c r="BC33">
        <v>1</v>
      </c>
      <c r="BH33">
        <v>0</v>
      </c>
      <c r="BI33">
        <v>1</v>
      </c>
      <c r="BJ33" t="s">
        <v>40</v>
      </c>
      <c r="BM33">
        <v>68001</v>
      </c>
      <c r="BN33">
        <v>0</v>
      </c>
      <c r="BO33" t="s">
        <v>32</v>
      </c>
      <c r="BP33">
        <v>1</v>
      </c>
      <c r="BQ33">
        <v>6</v>
      </c>
      <c r="BR33">
        <v>0</v>
      </c>
      <c r="BS33">
        <v>36.47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102</v>
      </c>
      <c r="CA33">
        <v>54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9"/>
        <v>246.68</v>
      </c>
      <c r="CQ33">
        <f t="shared" si="40"/>
        <v>0</v>
      </c>
      <c r="CR33">
        <f t="shared" si="41"/>
        <v>0</v>
      </c>
      <c r="CS33">
        <f t="shared" si="42"/>
        <v>0</v>
      </c>
      <c r="CT33">
        <f t="shared" si="43"/>
        <v>142.34</v>
      </c>
      <c r="CU33">
        <f t="shared" si="44"/>
        <v>0</v>
      </c>
      <c r="CV33">
        <f t="shared" si="45"/>
        <v>18.68</v>
      </c>
      <c r="CW33">
        <f t="shared" si="46"/>
        <v>0</v>
      </c>
      <c r="CX33">
        <f t="shared" si="47"/>
        <v>0</v>
      </c>
      <c r="CY33">
        <f t="shared" si="48"/>
        <v>251.61360000000002</v>
      </c>
      <c r="CZ33">
        <f t="shared" si="49"/>
        <v>133.2072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25</v>
      </c>
      <c r="DW33" t="s">
        <v>25</v>
      </c>
      <c r="DX33">
        <v>100</v>
      </c>
      <c r="EE33">
        <v>55471846</v>
      </c>
      <c r="EF33">
        <v>6</v>
      </c>
      <c r="EG33" t="s">
        <v>27</v>
      </c>
      <c r="EH33">
        <v>102</v>
      </c>
      <c r="EI33" t="s">
        <v>41</v>
      </c>
      <c r="EJ33">
        <v>1</v>
      </c>
      <c r="EK33">
        <v>68001</v>
      </c>
      <c r="EL33" t="s">
        <v>41</v>
      </c>
      <c r="EM33" t="s">
        <v>42</v>
      </c>
      <c r="EQ33">
        <v>0</v>
      </c>
      <c r="ER33">
        <v>142.34</v>
      </c>
      <c r="ES33">
        <v>0</v>
      </c>
      <c r="ET33">
        <v>0</v>
      </c>
      <c r="EU33">
        <v>0</v>
      </c>
      <c r="EV33">
        <v>142.34</v>
      </c>
      <c r="EW33">
        <v>18.68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102</v>
      </c>
      <c r="FY33">
        <v>54</v>
      </c>
      <c r="GD33">
        <v>1</v>
      </c>
      <c r="GF33">
        <v>1244667973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1"/>
        <v>0</v>
      </c>
      <c r="GM33">
        <f t="shared" si="52"/>
        <v>631.5</v>
      </c>
      <c r="GN33">
        <f t="shared" si="53"/>
        <v>631.5</v>
      </c>
      <c r="GO33">
        <f t="shared" si="54"/>
        <v>0</v>
      </c>
      <c r="GP33">
        <f t="shared" si="55"/>
        <v>0</v>
      </c>
      <c r="GR33">
        <v>0</v>
      </c>
      <c r="GS33">
        <v>0</v>
      </c>
      <c r="GT33">
        <v>0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I33">
        <f t="shared" si="59"/>
        <v>0</v>
      </c>
      <c r="HJ33">
        <f t="shared" si="60"/>
        <v>8996.42</v>
      </c>
      <c r="HK33">
        <f t="shared" si="61"/>
        <v>9176.35</v>
      </c>
      <c r="HL33">
        <f t="shared" si="62"/>
        <v>4858.07</v>
      </c>
      <c r="HN33" t="s">
        <v>43</v>
      </c>
      <c r="HO33" t="s">
        <v>44</v>
      </c>
      <c r="HP33" t="s">
        <v>41</v>
      </c>
      <c r="HQ33" t="s">
        <v>41</v>
      </c>
      <c r="IK33">
        <v>0</v>
      </c>
    </row>
    <row r="34" spans="1:255" ht="12.75">
      <c r="A34" s="2">
        <v>17</v>
      </c>
      <c r="B34" s="2">
        <v>1</v>
      </c>
      <c r="C34" s="2">
        <f>ROW(SmtRes!A15)</f>
        <v>15</v>
      </c>
      <c r="D34" s="2">
        <f>ROW(EtalonRes!A15)</f>
        <v>15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ROUND(8.25/100,7)</f>
        <v>0.0825</v>
      </c>
      <c r="J34" s="2">
        <v>0</v>
      </c>
      <c r="K34" s="2">
        <f>ROUND(8.25/100,7)</f>
        <v>0.0825</v>
      </c>
      <c r="L34" s="2"/>
      <c r="M34" s="2"/>
      <c r="N34" s="2"/>
      <c r="O34" s="2">
        <f t="shared" si="21"/>
        <v>127.82</v>
      </c>
      <c r="P34" s="2">
        <f t="shared" si="22"/>
        <v>0</v>
      </c>
      <c r="Q34" s="2">
        <f t="shared" si="23"/>
        <v>94.78</v>
      </c>
      <c r="R34" s="2">
        <f t="shared" si="24"/>
        <v>11.95</v>
      </c>
      <c r="S34" s="2">
        <f t="shared" si="25"/>
        <v>33.04</v>
      </c>
      <c r="T34" s="2">
        <f t="shared" si="26"/>
        <v>0</v>
      </c>
      <c r="U34" s="2">
        <f t="shared" si="27"/>
        <v>4.08375</v>
      </c>
      <c r="V34" s="2">
        <f t="shared" si="28"/>
        <v>0.885225</v>
      </c>
      <c r="W34" s="2">
        <f t="shared" si="29"/>
        <v>0</v>
      </c>
      <c r="X34" s="2">
        <f t="shared" si="30"/>
        <v>45.89</v>
      </c>
      <c r="Y34" s="2">
        <f t="shared" si="31"/>
        <v>24.29</v>
      </c>
      <c r="Z34" s="2"/>
      <c r="AA34" s="2">
        <v>55463411</v>
      </c>
      <c r="AB34" s="2">
        <f t="shared" si="32"/>
        <v>1549.25</v>
      </c>
      <c r="AC34" s="2">
        <f t="shared" si="33"/>
        <v>0</v>
      </c>
      <c r="AD34" s="2">
        <f t="shared" si="34"/>
        <v>1148.79</v>
      </c>
      <c r="AE34" s="2">
        <f t="shared" si="35"/>
        <v>144.86</v>
      </c>
      <c r="AF34" s="2">
        <f t="shared" si="35"/>
        <v>400.46</v>
      </c>
      <c r="AG34" s="2">
        <f t="shared" si="36"/>
        <v>0</v>
      </c>
      <c r="AH34" s="2">
        <f t="shared" si="37"/>
        <v>49.5</v>
      </c>
      <c r="AI34" s="2">
        <f t="shared" si="37"/>
        <v>10.73</v>
      </c>
      <c r="AJ34" s="2">
        <f t="shared" si="38"/>
        <v>0</v>
      </c>
      <c r="AK34" s="2">
        <v>1549.25</v>
      </c>
      <c r="AL34" s="2">
        <v>0</v>
      </c>
      <c r="AM34" s="2">
        <v>1148.79</v>
      </c>
      <c r="AN34" s="2">
        <v>144.86</v>
      </c>
      <c r="AO34" s="2">
        <v>400.46</v>
      </c>
      <c r="AP34" s="2">
        <v>0</v>
      </c>
      <c r="AQ34" s="2">
        <v>49.5</v>
      </c>
      <c r="AR34" s="2">
        <v>10.73</v>
      </c>
      <c r="AS34" s="2">
        <v>0</v>
      </c>
      <c r="AT34" s="2">
        <v>102</v>
      </c>
      <c r="AU34" s="2">
        <v>54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49</v>
      </c>
      <c r="BK34" s="2"/>
      <c r="BL34" s="2"/>
      <c r="BM34" s="2">
        <v>68001</v>
      </c>
      <c r="BN34" s="2">
        <v>0</v>
      </c>
      <c r="BO34" s="2" t="s">
        <v>3</v>
      </c>
      <c r="BP34" s="2">
        <v>0</v>
      </c>
      <c r="BQ34" s="2">
        <v>6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102</v>
      </c>
      <c r="CA34" s="2">
        <v>54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9"/>
        <v>127.82</v>
      </c>
      <c r="CQ34" s="2">
        <f t="shared" si="40"/>
        <v>0</v>
      </c>
      <c r="CR34" s="2">
        <f t="shared" si="41"/>
        <v>1148.79</v>
      </c>
      <c r="CS34" s="2">
        <f t="shared" si="42"/>
        <v>144.86</v>
      </c>
      <c r="CT34" s="2">
        <f t="shared" si="43"/>
        <v>400.46</v>
      </c>
      <c r="CU34" s="2">
        <f t="shared" si="44"/>
        <v>0</v>
      </c>
      <c r="CV34" s="2">
        <f t="shared" si="45"/>
        <v>49.5</v>
      </c>
      <c r="CW34" s="2">
        <f t="shared" si="46"/>
        <v>10.73</v>
      </c>
      <c r="CX34" s="2">
        <f t="shared" si="47"/>
        <v>0</v>
      </c>
      <c r="CY34" s="2">
        <f t="shared" si="48"/>
        <v>45.889799999999994</v>
      </c>
      <c r="CZ34" s="2">
        <f t="shared" si="49"/>
        <v>24.294599999999996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48</v>
      </c>
      <c r="DW34" s="2" t="s">
        <v>48</v>
      </c>
      <c r="DX34" s="2">
        <v>100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55471846</v>
      </c>
      <c r="EF34" s="2">
        <v>6</v>
      </c>
      <c r="EG34" s="2" t="s">
        <v>27</v>
      </c>
      <c r="EH34" s="2">
        <v>102</v>
      </c>
      <c r="EI34" s="2" t="s">
        <v>41</v>
      </c>
      <c r="EJ34" s="2">
        <v>1</v>
      </c>
      <c r="EK34" s="2">
        <v>68001</v>
      </c>
      <c r="EL34" s="2" t="s">
        <v>41</v>
      </c>
      <c r="EM34" s="2" t="s">
        <v>42</v>
      </c>
      <c r="EN34" s="2"/>
      <c r="EO34" s="2" t="s">
        <v>3</v>
      </c>
      <c r="EP34" s="2"/>
      <c r="EQ34" s="2">
        <v>0</v>
      </c>
      <c r="ER34" s="2">
        <v>1549.25</v>
      </c>
      <c r="ES34" s="2">
        <v>0</v>
      </c>
      <c r="ET34" s="2">
        <v>1148.79</v>
      </c>
      <c r="EU34" s="2">
        <v>144.86</v>
      </c>
      <c r="EV34" s="2">
        <v>400.46</v>
      </c>
      <c r="EW34" s="2">
        <v>49.5</v>
      </c>
      <c r="EX34" s="2">
        <v>10.73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0"/>
        <v>0</v>
      </c>
      <c r="FS34" s="2">
        <v>0</v>
      </c>
      <c r="FT34" s="2"/>
      <c r="FU34" s="2"/>
      <c r="FV34" s="2"/>
      <c r="FW34" s="2"/>
      <c r="FX34" s="2">
        <v>102</v>
      </c>
      <c r="FY34" s="2">
        <v>54</v>
      </c>
      <c r="FZ34" s="2"/>
      <c r="GA34" s="2" t="s">
        <v>3</v>
      </c>
      <c r="GB34" s="2"/>
      <c r="GC34" s="2"/>
      <c r="GD34" s="2">
        <v>1</v>
      </c>
      <c r="GE34" s="2"/>
      <c r="GF34" s="2">
        <v>-382806871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51"/>
        <v>0</v>
      </c>
      <c r="GM34" s="2">
        <f t="shared" si="52"/>
        <v>198</v>
      </c>
      <c r="GN34" s="2">
        <f t="shared" si="53"/>
        <v>198</v>
      </c>
      <c r="GO34" s="2">
        <f t="shared" si="54"/>
        <v>0</v>
      </c>
      <c r="GP34" s="2">
        <f t="shared" si="55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6"/>
        <v>0</v>
      </c>
      <c r="GW34" s="2">
        <v>1</v>
      </c>
      <c r="GX34" s="2">
        <f t="shared" si="57"/>
        <v>0</v>
      </c>
      <c r="GY34" s="2"/>
      <c r="GZ34" s="2"/>
      <c r="HA34" s="2">
        <v>0</v>
      </c>
      <c r="HB34" s="2">
        <v>0</v>
      </c>
      <c r="HC34" s="2">
        <f t="shared" si="58"/>
        <v>0</v>
      </c>
      <c r="HD34" s="2"/>
      <c r="HE34" s="2" t="s">
        <v>3</v>
      </c>
      <c r="HF34" s="2" t="s">
        <v>3</v>
      </c>
      <c r="HG34" s="2"/>
      <c r="HH34" s="2"/>
      <c r="HI34" s="2">
        <f t="shared" si="59"/>
        <v>11.95</v>
      </c>
      <c r="HJ34" s="2">
        <f t="shared" si="60"/>
        <v>33.04</v>
      </c>
      <c r="HK34" s="2">
        <f t="shared" si="61"/>
        <v>45.89</v>
      </c>
      <c r="HL34" s="2">
        <f t="shared" si="62"/>
        <v>24.29</v>
      </c>
      <c r="HM34" s="2" t="s">
        <v>3</v>
      </c>
      <c r="HN34" s="2" t="s">
        <v>43</v>
      </c>
      <c r="HO34" s="2" t="s">
        <v>44</v>
      </c>
      <c r="HP34" s="2" t="s">
        <v>41</v>
      </c>
      <c r="HQ34" s="2" t="s">
        <v>41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17</v>
      </c>
      <c r="B35">
        <v>1</v>
      </c>
      <c r="C35">
        <f>ROW(SmtRes!A20)</f>
        <v>20</v>
      </c>
      <c r="D35">
        <f>ROW(EtalonRes!A20)</f>
        <v>20</v>
      </c>
      <c r="E35" t="s">
        <v>45</v>
      </c>
      <c r="F35" t="s">
        <v>46</v>
      </c>
      <c r="G35" t="s">
        <v>47</v>
      </c>
      <c r="H35" t="s">
        <v>48</v>
      </c>
      <c r="I35">
        <f>ROUND(8.25/100,7)</f>
        <v>0.0825</v>
      </c>
      <c r="J35">
        <v>0</v>
      </c>
      <c r="K35">
        <f>ROUND(8.25/100,7)</f>
        <v>0.0825</v>
      </c>
      <c r="O35">
        <f t="shared" si="21"/>
        <v>127.82</v>
      </c>
      <c r="P35">
        <f t="shared" si="22"/>
        <v>0</v>
      </c>
      <c r="Q35">
        <f t="shared" si="23"/>
        <v>94.78</v>
      </c>
      <c r="R35">
        <f t="shared" si="24"/>
        <v>11.95</v>
      </c>
      <c r="S35">
        <f t="shared" si="25"/>
        <v>33.04</v>
      </c>
      <c r="T35">
        <f t="shared" si="26"/>
        <v>0</v>
      </c>
      <c r="U35">
        <f t="shared" si="27"/>
        <v>4.08375</v>
      </c>
      <c r="V35">
        <f t="shared" si="28"/>
        <v>0.885225</v>
      </c>
      <c r="W35">
        <f t="shared" si="29"/>
        <v>0</v>
      </c>
      <c r="X35">
        <f t="shared" si="30"/>
        <v>45.89</v>
      </c>
      <c r="Y35">
        <f t="shared" si="31"/>
        <v>24.29</v>
      </c>
      <c r="AA35">
        <v>55463412</v>
      </c>
      <c r="AB35">
        <f t="shared" si="32"/>
        <v>1549.25</v>
      </c>
      <c r="AC35">
        <f t="shared" si="33"/>
        <v>0</v>
      </c>
      <c r="AD35">
        <f t="shared" si="34"/>
        <v>1148.79</v>
      </c>
      <c r="AE35">
        <f t="shared" si="35"/>
        <v>144.86</v>
      </c>
      <c r="AF35">
        <f t="shared" si="35"/>
        <v>400.46</v>
      </c>
      <c r="AG35">
        <f t="shared" si="36"/>
        <v>0</v>
      </c>
      <c r="AH35">
        <f t="shared" si="37"/>
        <v>49.5</v>
      </c>
      <c r="AI35">
        <f t="shared" si="37"/>
        <v>10.73</v>
      </c>
      <c r="AJ35">
        <f t="shared" si="38"/>
        <v>0</v>
      </c>
      <c r="AK35">
        <v>1549.25</v>
      </c>
      <c r="AL35">
        <v>0</v>
      </c>
      <c r="AM35">
        <v>1148.79</v>
      </c>
      <c r="AN35">
        <v>144.86</v>
      </c>
      <c r="AO35">
        <v>400.46</v>
      </c>
      <c r="AP35">
        <v>0</v>
      </c>
      <c r="AQ35">
        <v>49.5</v>
      </c>
      <c r="AR35">
        <v>10.73</v>
      </c>
      <c r="AS35">
        <v>0</v>
      </c>
      <c r="AT35">
        <v>102</v>
      </c>
      <c r="AU35">
        <v>54</v>
      </c>
      <c r="AV35">
        <v>1</v>
      </c>
      <c r="AW35">
        <v>1</v>
      </c>
      <c r="AZ35">
        <v>1</v>
      </c>
      <c r="BA35">
        <v>36.47</v>
      </c>
      <c r="BB35">
        <v>1</v>
      </c>
      <c r="BC35">
        <v>1</v>
      </c>
      <c r="BH35">
        <v>0</v>
      </c>
      <c r="BI35">
        <v>1</v>
      </c>
      <c r="BJ35" t="s">
        <v>49</v>
      </c>
      <c r="BM35">
        <v>68001</v>
      </c>
      <c r="BN35">
        <v>0</v>
      </c>
      <c r="BO35" t="s">
        <v>32</v>
      </c>
      <c r="BP35">
        <v>1</v>
      </c>
      <c r="BQ35">
        <v>6</v>
      </c>
      <c r="BR35">
        <v>0</v>
      </c>
      <c r="BS35">
        <v>36.47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102</v>
      </c>
      <c r="CA35">
        <v>54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9"/>
        <v>127.82</v>
      </c>
      <c r="CQ35">
        <f t="shared" si="40"/>
        <v>0</v>
      </c>
      <c r="CR35">
        <f t="shared" si="41"/>
        <v>1148.79</v>
      </c>
      <c r="CS35">
        <f t="shared" si="42"/>
        <v>144.86</v>
      </c>
      <c r="CT35">
        <f t="shared" si="43"/>
        <v>400.46</v>
      </c>
      <c r="CU35">
        <f t="shared" si="44"/>
        <v>0</v>
      </c>
      <c r="CV35">
        <f t="shared" si="45"/>
        <v>49.5</v>
      </c>
      <c r="CW35">
        <f t="shared" si="46"/>
        <v>10.73</v>
      </c>
      <c r="CX35">
        <f t="shared" si="47"/>
        <v>0</v>
      </c>
      <c r="CY35">
        <f t="shared" si="48"/>
        <v>45.889799999999994</v>
      </c>
      <c r="CZ35">
        <f t="shared" si="49"/>
        <v>24.294599999999996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48</v>
      </c>
      <c r="DW35" t="s">
        <v>48</v>
      </c>
      <c r="DX35">
        <v>100</v>
      </c>
      <c r="EE35">
        <v>55471846</v>
      </c>
      <c r="EF35">
        <v>6</v>
      </c>
      <c r="EG35" t="s">
        <v>27</v>
      </c>
      <c r="EH35">
        <v>102</v>
      </c>
      <c r="EI35" t="s">
        <v>41</v>
      </c>
      <c r="EJ35">
        <v>1</v>
      </c>
      <c r="EK35">
        <v>68001</v>
      </c>
      <c r="EL35" t="s">
        <v>41</v>
      </c>
      <c r="EM35" t="s">
        <v>42</v>
      </c>
      <c r="EQ35">
        <v>0</v>
      </c>
      <c r="ER35">
        <v>1549.25</v>
      </c>
      <c r="ES35">
        <v>0</v>
      </c>
      <c r="ET35">
        <v>1148.79</v>
      </c>
      <c r="EU35">
        <v>144.86</v>
      </c>
      <c r="EV35">
        <v>400.46</v>
      </c>
      <c r="EW35">
        <v>49.5</v>
      </c>
      <c r="EX35">
        <v>10.73</v>
      </c>
      <c r="EY35">
        <v>0</v>
      </c>
      <c r="FQ35">
        <v>0</v>
      </c>
      <c r="FR35">
        <f t="shared" si="50"/>
        <v>0</v>
      </c>
      <c r="FS35">
        <v>0</v>
      </c>
      <c r="FX35">
        <v>102</v>
      </c>
      <c r="FY35">
        <v>54</v>
      </c>
      <c r="GD35">
        <v>1</v>
      </c>
      <c r="GF35">
        <v>-382806871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1"/>
        <v>0</v>
      </c>
      <c r="GM35">
        <f t="shared" si="52"/>
        <v>198</v>
      </c>
      <c r="GN35">
        <f t="shared" si="53"/>
        <v>198</v>
      </c>
      <c r="GO35">
        <f t="shared" si="54"/>
        <v>0</v>
      </c>
      <c r="GP35">
        <f t="shared" si="55"/>
        <v>0</v>
      </c>
      <c r="GR35">
        <v>0</v>
      </c>
      <c r="GS35">
        <v>0</v>
      </c>
      <c r="GT35">
        <v>0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I35">
        <f t="shared" si="59"/>
        <v>435.82</v>
      </c>
      <c r="HJ35">
        <f t="shared" si="60"/>
        <v>1204.97</v>
      </c>
      <c r="HK35">
        <f t="shared" si="61"/>
        <v>1673.61</v>
      </c>
      <c r="HL35">
        <f t="shared" si="62"/>
        <v>886.03</v>
      </c>
      <c r="HN35" t="s">
        <v>43</v>
      </c>
      <c r="HO35" t="s">
        <v>44</v>
      </c>
      <c r="HP35" t="s">
        <v>41</v>
      </c>
      <c r="HQ35" t="s">
        <v>41</v>
      </c>
      <c r="IK35">
        <v>0</v>
      </c>
    </row>
    <row r="36" spans="1:255" ht="12.75">
      <c r="A36" s="2">
        <v>17</v>
      </c>
      <c r="B36" s="2">
        <v>1</v>
      </c>
      <c r="C36" s="2">
        <f>ROW(SmtRes!A21)</f>
        <v>21</v>
      </c>
      <c r="D36" s="2">
        <f>ROW(EtalonRes!A21)</f>
        <v>21</v>
      </c>
      <c r="E36" s="2" t="s">
        <v>50</v>
      </c>
      <c r="F36" s="2" t="s">
        <v>51</v>
      </c>
      <c r="G36" s="2" t="s">
        <v>52</v>
      </c>
      <c r="H36" s="2" t="s">
        <v>53</v>
      </c>
      <c r="I36" s="2">
        <f>ROUND(60/100,7)</f>
        <v>0.6</v>
      </c>
      <c r="J36" s="2">
        <v>0</v>
      </c>
      <c r="K36" s="2">
        <f>ROUND(60/100,7)</f>
        <v>0.6</v>
      </c>
      <c r="L36" s="2"/>
      <c r="M36" s="2"/>
      <c r="N36" s="2"/>
      <c r="O36" s="2">
        <f t="shared" si="21"/>
        <v>424.44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424.44</v>
      </c>
      <c r="T36" s="2">
        <f t="shared" si="26"/>
        <v>0</v>
      </c>
      <c r="U36" s="2">
        <f t="shared" si="27"/>
        <v>52.922999999999995</v>
      </c>
      <c r="V36" s="2">
        <f t="shared" si="28"/>
        <v>0</v>
      </c>
      <c r="W36" s="2">
        <f t="shared" si="29"/>
        <v>0</v>
      </c>
      <c r="X36" s="2">
        <f t="shared" si="30"/>
        <v>561.53</v>
      </c>
      <c r="Y36" s="2">
        <f t="shared" si="31"/>
        <v>483.44</v>
      </c>
      <c r="Z36" s="2"/>
      <c r="AA36" s="2">
        <v>55463411</v>
      </c>
      <c r="AB36" s="2">
        <f t="shared" si="32"/>
        <v>707.4</v>
      </c>
      <c r="AC36" s="2">
        <f t="shared" si="33"/>
        <v>0</v>
      </c>
      <c r="AD36" s="2">
        <f>ROUND(((((ET36*ROUND(1.25,7)))-((EU36*ROUND(1.25,7))))+AE36),2)</f>
        <v>0</v>
      </c>
      <c r="AE36" s="2">
        <f>ROUND(((EU36*ROUND(1.25,7))),2)</f>
        <v>0</v>
      </c>
      <c r="AF36" s="2">
        <f>ROUND(((EV36*ROUND(1.15,7))),2)</f>
        <v>707.4</v>
      </c>
      <c r="AG36" s="2">
        <f t="shared" si="36"/>
        <v>0</v>
      </c>
      <c r="AH36" s="2">
        <f>((EW36*ROUND(1.15,7)))</f>
        <v>88.205</v>
      </c>
      <c r="AI36" s="2">
        <f>((EX36*ROUND(1.25,7)))</f>
        <v>0</v>
      </c>
      <c r="AJ36" s="2">
        <f t="shared" si="38"/>
        <v>0</v>
      </c>
      <c r="AK36" s="2">
        <v>615.13</v>
      </c>
      <c r="AL36" s="2">
        <v>0</v>
      </c>
      <c r="AM36" s="2">
        <v>0</v>
      </c>
      <c r="AN36" s="2">
        <v>0</v>
      </c>
      <c r="AO36" s="2">
        <v>615.13</v>
      </c>
      <c r="AP36" s="2">
        <v>0</v>
      </c>
      <c r="AQ36" s="2">
        <v>76.7</v>
      </c>
      <c r="AR36" s="2">
        <v>0</v>
      </c>
      <c r="AS36" s="2">
        <v>0</v>
      </c>
      <c r="AT36" s="2">
        <v>132.3</v>
      </c>
      <c r="AU36" s="2">
        <v>113.9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54</v>
      </c>
      <c r="BK36" s="2"/>
      <c r="BL36" s="2"/>
      <c r="BM36" s="2">
        <v>27006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147</v>
      </c>
      <c r="CA36" s="2">
        <v>134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55</v>
      </c>
      <c r="CO36" s="2">
        <v>0</v>
      </c>
      <c r="CP36" s="2">
        <f t="shared" si="39"/>
        <v>424.44</v>
      </c>
      <c r="CQ36" s="2">
        <f t="shared" si="40"/>
        <v>0</v>
      </c>
      <c r="CR36" s="2">
        <f>((((ET36*ROUND(1.25,7)))*BB36-((EU36*ROUND(1.25,7))))+AE36)</f>
        <v>0</v>
      </c>
      <c r="CS36" s="2">
        <f t="shared" si="42"/>
        <v>0</v>
      </c>
      <c r="CT36" s="2">
        <f t="shared" si="43"/>
        <v>707.4</v>
      </c>
      <c r="CU36" s="2">
        <f t="shared" si="44"/>
        <v>0</v>
      </c>
      <c r="CV36" s="2">
        <f t="shared" si="45"/>
        <v>88.205</v>
      </c>
      <c r="CW36" s="2">
        <f t="shared" si="46"/>
        <v>0</v>
      </c>
      <c r="CX36" s="2">
        <f t="shared" si="47"/>
        <v>0</v>
      </c>
      <c r="CY36" s="2">
        <f t="shared" si="48"/>
        <v>561.53412</v>
      </c>
      <c r="CZ36" s="2">
        <f t="shared" si="49"/>
        <v>483.43716</v>
      </c>
      <c r="DA36" s="2"/>
      <c r="DB36" s="2"/>
      <c r="DC36" s="2" t="s">
        <v>3</v>
      </c>
      <c r="DD36" s="2" t="s">
        <v>3</v>
      </c>
      <c r="DE36" s="2" t="s">
        <v>56</v>
      </c>
      <c r="DF36" s="2" t="s">
        <v>56</v>
      </c>
      <c r="DG36" s="2" t="s">
        <v>57</v>
      </c>
      <c r="DH36" s="2" t="s">
        <v>3</v>
      </c>
      <c r="DI36" s="2" t="s">
        <v>57</v>
      </c>
      <c r="DJ36" s="2" t="s">
        <v>56</v>
      </c>
      <c r="DK36" s="2" t="s">
        <v>3</v>
      </c>
      <c r="DL36" s="2" t="s">
        <v>58</v>
      </c>
      <c r="DM36" s="2" t="s">
        <v>59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53</v>
      </c>
      <c r="DW36" s="2" t="s">
        <v>53</v>
      </c>
      <c r="DX36" s="2">
        <v>100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55472106</v>
      </c>
      <c r="EF36" s="2">
        <v>2</v>
      </c>
      <c r="EG36" s="2" t="s">
        <v>60</v>
      </c>
      <c r="EH36" s="2">
        <v>21</v>
      </c>
      <c r="EI36" s="2" t="s">
        <v>61</v>
      </c>
      <c r="EJ36" s="2">
        <v>1</v>
      </c>
      <c r="EK36" s="2">
        <v>27006</v>
      </c>
      <c r="EL36" s="2" t="s">
        <v>62</v>
      </c>
      <c r="EM36" s="2" t="s">
        <v>63</v>
      </c>
      <c r="EN36" s="2"/>
      <c r="EO36" s="2" t="s">
        <v>64</v>
      </c>
      <c r="EP36" s="2"/>
      <c r="EQ36" s="2">
        <v>0</v>
      </c>
      <c r="ER36" s="2">
        <v>615.13</v>
      </c>
      <c r="ES36" s="2">
        <v>0</v>
      </c>
      <c r="ET36" s="2">
        <v>0</v>
      </c>
      <c r="EU36" s="2">
        <v>0</v>
      </c>
      <c r="EV36" s="2">
        <v>615.13</v>
      </c>
      <c r="EW36" s="2">
        <v>76.7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0"/>
        <v>0</v>
      </c>
      <c r="FS36" s="2">
        <v>0</v>
      </c>
      <c r="FT36" s="2"/>
      <c r="FU36" s="2"/>
      <c r="FV36" s="2"/>
      <c r="FW36" s="2"/>
      <c r="FX36" s="2">
        <v>132.3</v>
      </c>
      <c r="FY36" s="2">
        <v>113.9</v>
      </c>
      <c r="FZ36" s="2"/>
      <c r="GA36" s="2" t="s">
        <v>3</v>
      </c>
      <c r="GB36" s="2"/>
      <c r="GC36" s="2"/>
      <c r="GD36" s="2">
        <v>1</v>
      </c>
      <c r="GE36" s="2"/>
      <c r="GF36" s="2">
        <v>573893660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51"/>
        <v>0</v>
      </c>
      <c r="GM36" s="2">
        <f t="shared" si="52"/>
        <v>1469.41</v>
      </c>
      <c r="GN36" s="2">
        <f t="shared" si="53"/>
        <v>1469.41</v>
      </c>
      <c r="GO36" s="2">
        <f t="shared" si="54"/>
        <v>0</v>
      </c>
      <c r="GP36" s="2">
        <f t="shared" si="55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6"/>
        <v>0</v>
      </c>
      <c r="GW36" s="2">
        <v>1</v>
      </c>
      <c r="GX36" s="2">
        <f t="shared" si="57"/>
        <v>0</v>
      </c>
      <c r="GY36" s="2"/>
      <c r="GZ36" s="2"/>
      <c r="HA36" s="2">
        <v>0</v>
      </c>
      <c r="HB36" s="2">
        <v>0</v>
      </c>
      <c r="HC36" s="2">
        <f t="shared" si="58"/>
        <v>0</v>
      </c>
      <c r="HD36" s="2"/>
      <c r="HE36" s="2" t="s">
        <v>3</v>
      </c>
      <c r="HF36" s="2" t="s">
        <v>3</v>
      </c>
      <c r="HG36" s="2"/>
      <c r="HH36" s="2"/>
      <c r="HI36" s="2">
        <f t="shared" si="59"/>
        <v>0</v>
      </c>
      <c r="HJ36" s="2">
        <f t="shared" si="60"/>
        <v>424.44</v>
      </c>
      <c r="HK36" s="2">
        <f t="shared" si="61"/>
        <v>561.53</v>
      </c>
      <c r="HL36" s="2">
        <f t="shared" si="62"/>
        <v>483.44</v>
      </c>
      <c r="HM36" s="2" t="s">
        <v>3</v>
      </c>
      <c r="HN36" s="2" t="s">
        <v>65</v>
      </c>
      <c r="HO36" s="2" t="s">
        <v>66</v>
      </c>
      <c r="HP36" s="2" t="s">
        <v>61</v>
      </c>
      <c r="HQ36" s="2" t="s">
        <v>61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17</v>
      </c>
      <c r="B37">
        <v>1</v>
      </c>
      <c r="C37">
        <f>ROW(SmtRes!A22)</f>
        <v>22</v>
      </c>
      <c r="D37">
        <f>ROW(EtalonRes!A22)</f>
        <v>22</v>
      </c>
      <c r="E37" t="s">
        <v>50</v>
      </c>
      <c r="F37" t="s">
        <v>51</v>
      </c>
      <c r="G37" t="s">
        <v>52</v>
      </c>
      <c r="H37" t="s">
        <v>53</v>
      </c>
      <c r="I37">
        <f>ROUND(60/100,7)</f>
        <v>0.6</v>
      </c>
      <c r="J37">
        <v>0</v>
      </c>
      <c r="K37">
        <f>ROUND(60/100,7)</f>
        <v>0.6</v>
      </c>
      <c r="O37">
        <f t="shared" si="21"/>
        <v>424.44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424.44</v>
      </c>
      <c r="T37">
        <f t="shared" si="26"/>
        <v>0</v>
      </c>
      <c r="U37">
        <f t="shared" si="27"/>
        <v>52.922999999999995</v>
      </c>
      <c r="V37">
        <f t="shared" si="28"/>
        <v>0</v>
      </c>
      <c r="W37">
        <f t="shared" si="29"/>
        <v>0</v>
      </c>
      <c r="X37">
        <f t="shared" si="30"/>
        <v>561.53</v>
      </c>
      <c r="Y37">
        <f t="shared" si="31"/>
        <v>483.44</v>
      </c>
      <c r="AA37">
        <v>55463412</v>
      </c>
      <c r="AB37">
        <f t="shared" si="32"/>
        <v>707.4</v>
      </c>
      <c r="AC37">
        <f t="shared" si="33"/>
        <v>0</v>
      </c>
      <c r="AD37">
        <f>ROUND(((((ET37*ROUND(1.25,7)))-((EU37*ROUND(1.25,7))))+AE37),2)</f>
        <v>0</v>
      </c>
      <c r="AE37">
        <f>ROUND(((EU37*ROUND(1.25,7))),2)</f>
        <v>0</v>
      </c>
      <c r="AF37">
        <f>ROUND(((EV37*ROUND(1.15,7))),2)</f>
        <v>707.4</v>
      </c>
      <c r="AG37">
        <f t="shared" si="36"/>
        <v>0</v>
      </c>
      <c r="AH37">
        <f>((EW37*ROUND(1.15,7)))</f>
        <v>88.205</v>
      </c>
      <c r="AI37">
        <f>((EX37*ROUND(1.25,7)))</f>
        <v>0</v>
      </c>
      <c r="AJ37">
        <f t="shared" si="38"/>
        <v>0</v>
      </c>
      <c r="AK37">
        <v>615.13</v>
      </c>
      <c r="AL37">
        <v>0</v>
      </c>
      <c r="AM37">
        <v>0</v>
      </c>
      <c r="AN37">
        <v>0</v>
      </c>
      <c r="AO37">
        <v>615.13</v>
      </c>
      <c r="AP37">
        <v>0</v>
      </c>
      <c r="AQ37">
        <v>76.7</v>
      </c>
      <c r="AR37">
        <v>0</v>
      </c>
      <c r="AS37">
        <v>0</v>
      </c>
      <c r="AT37">
        <v>132.3</v>
      </c>
      <c r="AU37">
        <v>113.9</v>
      </c>
      <c r="AV37">
        <v>1</v>
      </c>
      <c r="AW37">
        <v>1</v>
      </c>
      <c r="AZ37">
        <v>1</v>
      </c>
      <c r="BA37">
        <v>36.47</v>
      </c>
      <c r="BB37">
        <v>1</v>
      </c>
      <c r="BC37">
        <v>1</v>
      </c>
      <c r="BH37">
        <v>0</v>
      </c>
      <c r="BI37">
        <v>1</v>
      </c>
      <c r="BJ37" t="s">
        <v>54</v>
      </c>
      <c r="BM37">
        <v>27006</v>
      </c>
      <c r="BN37">
        <v>0</v>
      </c>
      <c r="BO37" t="s">
        <v>32</v>
      </c>
      <c r="BP37">
        <v>1</v>
      </c>
      <c r="BQ37">
        <v>2</v>
      </c>
      <c r="BR37">
        <v>0</v>
      </c>
      <c r="BS37">
        <v>36.47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147</v>
      </c>
      <c r="CA37">
        <v>134</v>
      </c>
      <c r="CE37">
        <v>0</v>
      </c>
      <c r="CF37">
        <v>0</v>
      </c>
      <c r="CG37">
        <v>0</v>
      </c>
      <c r="CM37">
        <v>0</v>
      </c>
      <c r="CN37" t="s">
        <v>55</v>
      </c>
      <c r="CO37">
        <v>0</v>
      </c>
      <c r="CP37">
        <f t="shared" si="39"/>
        <v>424.44</v>
      </c>
      <c r="CQ37">
        <f t="shared" si="40"/>
        <v>0</v>
      </c>
      <c r="CR37">
        <f>((((ET37*ROUND(1.25,7)))*BB37-((EU37*ROUND(1.25,7))))+AE37)</f>
        <v>0</v>
      </c>
      <c r="CS37">
        <f t="shared" si="42"/>
        <v>0</v>
      </c>
      <c r="CT37">
        <f t="shared" si="43"/>
        <v>707.4</v>
      </c>
      <c r="CU37">
        <f t="shared" si="44"/>
        <v>0</v>
      </c>
      <c r="CV37">
        <f t="shared" si="45"/>
        <v>88.205</v>
      </c>
      <c r="CW37">
        <f t="shared" si="46"/>
        <v>0</v>
      </c>
      <c r="CX37">
        <f t="shared" si="47"/>
        <v>0</v>
      </c>
      <c r="CY37">
        <f t="shared" si="48"/>
        <v>561.53412</v>
      </c>
      <c r="CZ37">
        <f t="shared" si="49"/>
        <v>483.43716</v>
      </c>
      <c r="DE37" t="s">
        <v>56</v>
      </c>
      <c r="DF37" t="s">
        <v>56</v>
      </c>
      <c r="DG37" t="s">
        <v>57</v>
      </c>
      <c r="DI37" t="s">
        <v>57</v>
      </c>
      <c r="DJ37" t="s">
        <v>56</v>
      </c>
      <c r="DL37" t="s">
        <v>58</v>
      </c>
      <c r="DM37" t="s">
        <v>59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53</v>
      </c>
      <c r="DW37" t="s">
        <v>53</v>
      </c>
      <c r="DX37">
        <v>100</v>
      </c>
      <c r="EE37">
        <v>55472106</v>
      </c>
      <c r="EF37">
        <v>2</v>
      </c>
      <c r="EG37" t="s">
        <v>60</v>
      </c>
      <c r="EH37">
        <v>21</v>
      </c>
      <c r="EI37" t="s">
        <v>61</v>
      </c>
      <c r="EJ37">
        <v>1</v>
      </c>
      <c r="EK37">
        <v>27006</v>
      </c>
      <c r="EL37" t="s">
        <v>62</v>
      </c>
      <c r="EM37" t="s">
        <v>63</v>
      </c>
      <c r="EO37" t="s">
        <v>64</v>
      </c>
      <c r="EQ37">
        <v>0</v>
      </c>
      <c r="ER37">
        <v>615.13</v>
      </c>
      <c r="ES37">
        <v>0</v>
      </c>
      <c r="ET37">
        <v>0</v>
      </c>
      <c r="EU37">
        <v>0</v>
      </c>
      <c r="EV37">
        <v>615.13</v>
      </c>
      <c r="EW37">
        <v>76.7</v>
      </c>
      <c r="EX37">
        <v>0</v>
      </c>
      <c r="EY37">
        <v>0</v>
      </c>
      <c r="FQ37">
        <v>0</v>
      </c>
      <c r="FR37">
        <f t="shared" si="50"/>
        <v>0</v>
      </c>
      <c r="FS37">
        <v>0</v>
      </c>
      <c r="FX37">
        <v>132.3</v>
      </c>
      <c r="FY37">
        <v>113.9</v>
      </c>
      <c r="GD37">
        <v>1</v>
      </c>
      <c r="GF37">
        <v>573893660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1"/>
        <v>0</v>
      </c>
      <c r="GM37">
        <f t="shared" si="52"/>
        <v>1469.41</v>
      </c>
      <c r="GN37">
        <f t="shared" si="53"/>
        <v>1469.41</v>
      </c>
      <c r="GO37">
        <f t="shared" si="54"/>
        <v>0</v>
      </c>
      <c r="GP37">
        <f t="shared" si="55"/>
        <v>0</v>
      </c>
      <c r="GR37">
        <v>0</v>
      </c>
      <c r="GS37">
        <v>0</v>
      </c>
      <c r="GT37">
        <v>0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I37">
        <f t="shared" si="59"/>
        <v>0</v>
      </c>
      <c r="HJ37">
        <f t="shared" si="60"/>
        <v>15479.33</v>
      </c>
      <c r="HK37">
        <f t="shared" si="61"/>
        <v>20479.15</v>
      </c>
      <c r="HL37">
        <f t="shared" si="62"/>
        <v>17630.96</v>
      </c>
      <c r="HN37" t="s">
        <v>65</v>
      </c>
      <c r="HO37" t="s">
        <v>66</v>
      </c>
      <c r="HP37" t="s">
        <v>61</v>
      </c>
      <c r="HQ37" t="s">
        <v>61</v>
      </c>
      <c r="IK37">
        <v>0</v>
      </c>
    </row>
    <row r="39" spans="1:206" ht="12.75">
      <c r="A39" s="3">
        <v>51</v>
      </c>
      <c r="B39" s="3">
        <f>B24</f>
        <v>1</v>
      </c>
      <c r="C39" s="3">
        <f>A24</f>
        <v>4</v>
      </c>
      <c r="D39" s="3">
        <f>ROW(A24)</f>
        <v>24</v>
      </c>
      <c r="E39" s="3"/>
      <c r="F39" s="3">
        <f>IF(F24&lt;&gt;"",F24,"")</f>
      </c>
      <c r="G39" s="3" t="str">
        <f>IF(G24&lt;&gt;"",G24,"")</f>
        <v>Демонтажные работы</v>
      </c>
      <c r="H39" s="3">
        <v>0</v>
      </c>
      <c r="I39" s="3"/>
      <c r="J39" s="3"/>
      <c r="K39" s="3"/>
      <c r="L39" s="3"/>
      <c r="M39" s="3"/>
      <c r="N39" s="3"/>
      <c r="O39" s="3">
        <f aca="true" t="shared" si="63" ref="O39:T39">ROUND(AB39,2)</f>
        <v>939.96</v>
      </c>
      <c r="P39" s="3">
        <f t="shared" si="63"/>
        <v>0</v>
      </c>
      <c r="Q39" s="3">
        <f t="shared" si="63"/>
        <v>104.68</v>
      </c>
      <c r="R39" s="3">
        <f t="shared" si="63"/>
        <v>16.23</v>
      </c>
      <c r="S39" s="3">
        <f t="shared" si="63"/>
        <v>835.28</v>
      </c>
      <c r="T39" s="3">
        <f t="shared" si="63"/>
        <v>0</v>
      </c>
      <c r="U39" s="3">
        <f>AH39</f>
        <v>104.75059</v>
      </c>
      <c r="V39" s="3">
        <f>AI39</f>
        <v>1.202025</v>
      </c>
      <c r="W39" s="3">
        <f>ROUND(AJ39,2)</f>
        <v>0</v>
      </c>
      <c r="X39" s="3">
        <f>ROUND(AK39,2)</f>
        <v>979.54</v>
      </c>
      <c r="Y39" s="3">
        <f>ROUND(AL39,2)</f>
        <v>707.29</v>
      </c>
      <c r="Z39" s="3"/>
      <c r="AA39" s="3"/>
      <c r="AB39" s="3">
        <f>ROUND(SUMIF(AA28:AA37,"=55463411",O28:O37),2)</f>
        <v>939.96</v>
      </c>
      <c r="AC39" s="3">
        <f>ROUND(SUMIF(AA28:AA37,"=55463411",P28:P37),2)</f>
        <v>0</v>
      </c>
      <c r="AD39" s="3">
        <f>ROUND(SUMIF(AA28:AA37,"=55463411",Q28:Q37),2)</f>
        <v>104.68</v>
      </c>
      <c r="AE39" s="3">
        <f>ROUND(SUMIF(AA28:AA37,"=55463411",R28:R37),2)</f>
        <v>16.23</v>
      </c>
      <c r="AF39" s="3">
        <f>ROUND(SUMIF(AA28:AA37,"=55463411",S28:S37),2)</f>
        <v>835.28</v>
      </c>
      <c r="AG39" s="3">
        <f>ROUND(SUMIF(AA28:AA37,"=55463411",T28:T37),2)</f>
        <v>0</v>
      </c>
      <c r="AH39" s="3">
        <f>SUMIF(AA28:AA37,"=55463411",U28:U37)</f>
        <v>104.75059</v>
      </c>
      <c r="AI39" s="3">
        <f>SUMIF(AA28:AA37,"=55463411",V28:V37)</f>
        <v>1.202025</v>
      </c>
      <c r="AJ39" s="3">
        <f>ROUND(SUMIF(AA28:AA37,"=55463411",W28:W37),2)</f>
        <v>0</v>
      </c>
      <c r="AK39" s="3">
        <f>ROUND(SUMIF(AA28:AA37,"=55463411",X28:X37),2)</f>
        <v>979.54</v>
      </c>
      <c r="AL39" s="3">
        <f>ROUND(SUMIF(AA28:AA37,"=55463411",Y28:Y37),2)</f>
        <v>707.29</v>
      </c>
      <c r="AM39" s="3"/>
      <c r="AN39" s="3"/>
      <c r="AO39" s="3">
        <f aca="true" t="shared" si="64" ref="AO39:BD39">ROUND(BX39,2)</f>
        <v>0</v>
      </c>
      <c r="AP39" s="3">
        <f t="shared" si="64"/>
        <v>0</v>
      </c>
      <c r="AQ39" s="3">
        <f t="shared" si="64"/>
        <v>0</v>
      </c>
      <c r="AR39" s="3">
        <f t="shared" si="64"/>
        <v>2626.79</v>
      </c>
      <c r="AS39" s="3">
        <f t="shared" si="64"/>
        <v>2626.79</v>
      </c>
      <c r="AT39" s="3">
        <f t="shared" si="64"/>
        <v>0</v>
      </c>
      <c r="AU39" s="3">
        <f t="shared" si="64"/>
        <v>0</v>
      </c>
      <c r="AV39" s="3">
        <f t="shared" si="64"/>
        <v>0</v>
      </c>
      <c r="AW39" s="3">
        <f t="shared" si="64"/>
        <v>0</v>
      </c>
      <c r="AX39" s="3">
        <f t="shared" si="64"/>
        <v>0</v>
      </c>
      <c r="AY39" s="3">
        <f t="shared" si="64"/>
        <v>0</v>
      </c>
      <c r="AZ39" s="3">
        <f t="shared" si="64"/>
        <v>0</v>
      </c>
      <c r="BA39" s="3">
        <f t="shared" si="64"/>
        <v>0</v>
      </c>
      <c r="BB39" s="3">
        <f t="shared" si="64"/>
        <v>0</v>
      </c>
      <c r="BC39" s="3">
        <f t="shared" si="64"/>
        <v>0</v>
      </c>
      <c r="BD39" s="3">
        <f t="shared" si="64"/>
        <v>0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>
        <f>ROUND(SUMIF(AA28:AA37,"=55463411",FQ28:FQ37),2)</f>
        <v>0</v>
      </c>
      <c r="BY39" s="3">
        <f>ROUND(SUMIF(AA28:AA37,"=55463411",FR28:FR37),2)</f>
        <v>0</v>
      </c>
      <c r="BZ39" s="3">
        <f>ROUND(SUMIF(AA28:AA37,"=55463411",GL28:GL37),2)</f>
        <v>0</v>
      </c>
      <c r="CA39" s="3">
        <f>ROUND(SUMIF(AA28:AA37,"=55463411",GM28:GM37),2)</f>
        <v>2626.79</v>
      </c>
      <c r="CB39" s="3">
        <f>ROUND(SUMIF(AA28:AA37,"=55463411",GN28:GN37),2)</f>
        <v>2626.79</v>
      </c>
      <c r="CC39" s="3">
        <f>ROUND(SUMIF(AA28:AA37,"=55463411",GO28:GO37),2)</f>
        <v>0</v>
      </c>
      <c r="CD39" s="3">
        <f>ROUND(SUMIF(AA28:AA37,"=55463411",GP28:GP37),2)</f>
        <v>0</v>
      </c>
      <c r="CE39" s="3">
        <f>AC39-BX39</f>
        <v>0</v>
      </c>
      <c r="CF39" s="3">
        <f>AC39-BY39</f>
        <v>0</v>
      </c>
      <c r="CG39" s="3">
        <f>BX39-BZ39</f>
        <v>0</v>
      </c>
      <c r="CH39" s="3">
        <f>AC39-BX39-BY39+BZ39</f>
        <v>0</v>
      </c>
      <c r="CI39" s="3">
        <f>BY39-BZ39</f>
        <v>0</v>
      </c>
      <c r="CJ39" s="3">
        <f>ROUND(SUMIF(AA28:AA37,"=55463411",GX28:GX37),2)</f>
        <v>0</v>
      </c>
      <c r="CK39" s="3">
        <f>ROUND(SUMIF(AA28:AA37,"=55463411",GY28:GY37),2)</f>
        <v>0</v>
      </c>
      <c r="CL39" s="3">
        <f>ROUND(SUMIF(AA28:AA37,"=55463411",GZ28:GZ37),2)</f>
        <v>0</v>
      </c>
      <c r="CM39" s="3">
        <f>ROUND(SUMIF(AA28:AA37,"=55463411",HD28:HD37),2)</f>
        <v>0</v>
      </c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4">
        <f aca="true" t="shared" si="65" ref="DG39:DL39">ROUND(DT39,2)</f>
        <v>939.96</v>
      </c>
      <c r="DH39" s="4">
        <f t="shared" si="65"/>
        <v>0</v>
      </c>
      <c r="DI39" s="4">
        <f t="shared" si="65"/>
        <v>104.68</v>
      </c>
      <c r="DJ39" s="4">
        <f t="shared" si="65"/>
        <v>16.23</v>
      </c>
      <c r="DK39" s="4">
        <f t="shared" si="65"/>
        <v>835.28</v>
      </c>
      <c r="DL39" s="4">
        <f t="shared" si="65"/>
        <v>0</v>
      </c>
      <c r="DM39" s="4">
        <f>DZ39</f>
        <v>104.75059</v>
      </c>
      <c r="DN39" s="4">
        <f>EA39</f>
        <v>1.202025</v>
      </c>
      <c r="DO39" s="4">
        <f>ROUND(EB39,2)</f>
        <v>0</v>
      </c>
      <c r="DP39" s="4">
        <f>ROUND(EC39,2)</f>
        <v>979.54</v>
      </c>
      <c r="DQ39" s="4">
        <f>ROUND(ED39,2)</f>
        <v>707.29</v>
      </c>
      <c r="DR39" s="4"/>
      <c r="DS39" s="4"/>
      <c r="DT39" s="4">
        <f>ROUND(SUMIF(AA28:AA37,"=55463412",O28:O37),2)</f>
        <v>939.96</v>
      </c>
      <c r="DU39" s="4">
        <f>ROUND(SUMIF(AA28:AA37,"=55463412",P28:P37),2)</f>
        <v>0</v>
      </c>
      <c r="DV39" s="4">
        <f>ROUND(SUMIF(AA28:AA37,"=55463412",Q28:Q37),2)</f>
        <v>104.68</v>
      </c>
      <c r="DW39" s="4">
        <f>ROUND(SUMIF(AA28:AA37,"=55463412",R28:R37),2)</f>
        <v>16.23</v>
      </c>
      <c r="DX39" s="4">
        <f>ROUND(SUMIF(AA28:AA37,"=55463412",S28:S37),2)</f>
        <v>835.28</v>
      </c>
      <c r="DY39" s="4">
        <f>ROUND(SUMIF(AA28:AA37,"=55463412",T28:T37),2)</f>
        <v>0</v>
      </c>
      <c r="DZ39" s="4">
        <f>SUMIF(AA28:AA37,"=55463412",U28:U37)</f>
        <v>104.75059</v>
      </c>
      <c r="EA39" s="4">
        <f>SUMIF(AA28:AA37,"=55463412",V28:V37)</f>
        <v>1.202025</v>
      </c>
      <c r="EB39" s="4">
        <f>ROUND(SUMIF(AA28:AA37,"=55463412",W28:W37),2)</f>
        <v>0</v>
      </c>
      <c r="EC39" s="4">
        <f>ROUND(SUMIF(AA28:AA37,"=55463412",X28:X37),2)</f>
        <v>979.54</v>
      </c>
      <c r="ED39" s="4">
        <f>ROUND(SUMIF(AA28:AA37,"=55463412",Y28:Y37),2)</f>
        <v>707.29</v>
      </c>
      <c r="EE39" s="4"/>
      <c r="EF39" s="4"/>
      <c r="EG39" s="4">
        <f aca="true" t="shared" si="66" ref="EG39:EV39">ROUND(FP39,2)</f>
        <v>0</v>
      </c>
      <c r="EH39" s="4">
        <f t="shared" si="66"/>
        <v>0</v>
      </c>
      <c r="EI39" s="4">
        <f t="shared" si="66"/>
        <v>0</v>
      </c>
      <c r="EJ39" s="4">
        <f t="shared" si="66"/>
        <v>2626.79</v>
      </c>
      <c r="EK39" s="4">
        <f t="shared" si="66"/>
        <v>2626.79</v>
      </c>
      <c r="EL39" s="4">
        <f t="shared" si="66"/>
        <v>0</v>
      </c>
      <c r="EM39" s="4">
        <f t="shared" si="66"/>
        <v>0</v>
      </c>
      <c r="EN39" s="4">
        <f t="shared" si="66"/>
        <v>0</v>
      </c>
      <c r="EO39" s="4">
        <f t="shared" si="66"/>
        <v>0</v>
      </c>
      <c r="EP39" s="4">
        <f t="shared" si="66"/>
        <v>0</v>
      </c>
      <c r="EQ39" s="4">
        <f t="shared" si="66"/>
        <v>0</v>
      </c>
      <c r="ER39" s="4">
        <f t="shared" si="66"/>
        <v>0</v>
      </c>
      <c r="ES39" s="4">
        <f t="shared" si="66"/>
        <v>0</v>
      </c>
      <c r="ET39" s="4">
        <f t="shared" si="66"/>
        <v>0</v>
      </c>
      <c r="EU39" s="4">
        <f t="shared" si="66"/>
        <v>0</v>
      </c>
      <c r="EV39" s="4">
        <f t="shared" si="66"/>
        <v>0</v>
      </c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>
        <f>ROUND(SUMIF(AA28:AA37,"=55463412",FQ28:FQ37),2)</f>
        <v>0</v>
      </c>
      <c r="FQ39" s="4">
        <f>ROUND(SUMIF(AA28:AA37,"=55463412",FR28:FR37),2)</f>
        <v>0</v>
      </c>
      <c r="FR39" s="4">
        <f>ROUND(SUMIF(AA28:AA37,"=55463412",GL28:GL37),2)</f>
        <v>0</v>
      </c>
      <c r="FS39" s="4">
        <f>ROUND(SUMIF(AA28:AA37,"=55463412",GM28:GM37),2)</f>
        <v>2626.79</v>
      </c>
      <c r="FT39" s="4">
        <f>ROUND(SUMIF(AA28:AA37,"=55463412",GN28:GN37),2)</f>
        <v>2626.79</v>
      </c>
      <c r="FU39" s="4">
        <f>ROUND(SUMIF(AA28:AA37,"=55463412",GO28:GO37),2)</f>
        <v>0</v>
      </c>
      <c r="FV39" s="4">
        <f>ROUND(SUMIF(AA28:AA37,"=55463412",GP28:GP37),2)</f>
        <v>0</v>
      </c>
      <c r="FW39" s="4">
        <f>DU39-FP39</f>
        <v>0</v>
      </c>
      <c r="FX39" s="4">
        <f>DU39-FQ39</f>
        <v>0</v>
      </c>
      <c r="FY39" s="4">
        <f>FP39-FR39</f>
        <v>0</v>
      </c>
      <c r="FZ39" s="4">
        <f>DU39-FP39-FQ39+FR39</f>
        <v>0</v>
      </c>
      <c r="GA39" s="4">
        <f>FQ39-FR39</f>
        <v>0</v>
      </c>
      <c r="GB39" s="4">
        <f>ROUND(SUMIF(AA28:AA37,"=55463412",GX28:GX37),2)</f>
        <v>0</v>
      </c>
      <c r="GC39" s="4">
        <f>ROUND(SUMIF(AA28:AA37,"=55463412",GY28:GY37),2)</f>
        <v>0</v>
      </c>
      <c r="GD39" s="4">
        <f>ROUND(SUMIF(AA28:AA37,"=55463412",GZ28:GZ37),2)</f>
        <v>0</v>
      </c>
      <c r="GE39" s="4">
        <f>ROUND(SUMIF(AA28:AA37,"=55463412",HD28:HD37),2)</f>
        <v>0</v>
      </c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>
        <v>0</v>
      </c>
    </row>
    <row r="41" spans="1:28" ht="12.75">
      <c r="A41" s="5">
        <v>50</v>
      </c>
      <c r="B41" s="5">
        <v>0</v>
      </c>
      <c r="C41" s="5">
        <v>0</v>
      </c>
      <c r="D41" s="5">
        <v>1</v>
      </c>
      <c r="E41" s="5">
        <v>201</v>
      </c>
      <c r="F41" s="5">
        <f>ROUND(Source!O39,O41)</f>
        <v>939.96</v>
      </c>
      <c r="G41" s="5" t="s">
        <v>67</v>
      </c>
      <c r="H41" s="5" t="s">
        <v>68</v>
      </c>
      <c r="I41" s="5"/>
      <c r="J41" s="5"/>
      <c r="K41" s="5">
        <v>201</v>
      </c>
      <c r="L41" s="5">
        <v>1</v>
      </c>
      <c r="M41" s="5">
        <v>3</v>
      </c>
      <c r="N41" s="5" t="s">
        <v>3</v>
      </c>
      <c r="O41" s="5">
        <v>2</v>
      </c>
      <c r="P41" s="5">
        <f>ROUND(Source!DG39,O41)</f>
        <v>939.96</v>
      </c>
      <c r="Q41" s="5"/>
      <c r="R41" s="5"/>
      <c r="S41" s="5"/>
      <c r="T41" s="5"/>
      <c r="U41" s="5"/>
      <c r="V41" s="5"/>
      <c r="W41" s="5">
        <v>939.96</v>
      </c>
      <c r="X41" s="5">
        <v>1</v>
      </c>
      <c r="Y41" s="5">
        <v>939.96</v>
      </c>
      <c r="Z41" s="5">
        <v>939.96</v>
      </c>
      <c r="AA41" s="5">
        <v>1</v>
      </c>
      <c r="AB41" s="5">
        <v>31820.37</v>
      </c>
    </row>
    <row r="42" spans="1:28" ht="12.75">
      <c r="A42" s="5">
        <v>50</v>
      </c>
      <c r="B42" s="5">
        <v>0</v>
      </c>
      <c r="C42" s="5">
        <v>0</v>
      </c>
      <c r="D42" s="5">
        <v>1</v>
      </c>
      <c r="E42" s="5">
        <v>202</v>
      </c>
      <c r="F42" s="5">
        <f>ROUND(Source!P39,O42)</f>
        <v>0</v>
      </c>
      <c r="G42" s="5" t="s">
        <v>69</v>
      </c>
      <c r="H42" s="5" t="s">
        <v>70</v>
      </c>
      <c r="I42" s="5"/>
      <c r="J42" s="5"/>
      <c r="K42" s="5">
        <v>202</v>
      </c>
      <c r="L42" s="5">
        <v>2</v>
      </c>
      <c r="M42" s="5">
        <v>3</v>
      </c>
      <c r="N42" s="5" t="s">
        <v>3</v>
      </c>
      <c r="O42" s="5">
        <v>2</v>
      </c>
      <c r="P42" s="5">
        <f>ROUND(Source!DH39,O42)</f>
        <v>0</v>
      </c>
      <c r="Q42" s="5"/>
      <c r="R42" s="5"/>
      <c r="S42" s="5"/>
      <c r="T42" s="5"/>
      <c r="U42" s="5"/>
      <c r="V42" s="5"/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222</v>
      </c>
      <c r="F43" s="5">
        <f>ROUND(Source!AO39,O43)</f>
        <v>0</v>
      </c>
      <c r="G43" s="5" t="s">
        <v>71</v>
      </c>
      <c r="H43" s="5" t="s">
        <v>72</v>
      </c>
      <c r="I43" s="5"/>
      <c r="J43" s="5"/>
      <c r="K43" s="5">
        <v>222</v>
      </c>
      <c r="L43" s="5">
        <v>3</v>
      </c>
      <c r="M43" s="5">
        <v>3</v>
      </c>
      <c r="N43" s="5" t="s">
        <v>3</v>
      </c>
      <c r="O43" s="5">
        <v>2</v>
      </c>
      <c r="P43" s="5">
        <f>ROUND(Source!EG39,O43)</f>
        <v>0</v>
      </c>
      <c r="Q43" s="5"/>
      <c r="R43" s="5"/>
      <c r="S43" s="5"/>
      <c r="T43" s="5"/>
      <c r="U43" s="5"/>
      <c r="V43" s="5"/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225</v>
      </c>
      <c r="F44" s="5">
        <f>ROUND(Source!AV39,O44)</f>
        <v>0</v>
      </c>
      <c r="G44" s="5" t="s">
        <v>73</v>
      </c>
      <c r="H44" s="5" t="s">
        <v>74</v>
      </c>
      <c r="I44" s="5"/>
      <c r="J44" s="5"/>
      <c r="K44" s="5">
        <v>225</v>
      </c>
      <c r="L44" s="5">
        <v>4</v>
      </c>
      <c r="M44" s="5">
        <v>3</v>
      </c>
      <c r="N44" s="5" t="s">
        <v>3</v>
      </c>
      <c r="O44" s="5">
        <v>2</v>
      </c>
      <c r="P44" s="5">
        <f>ROUND(Source!EN39,O44)</f>
        <v>0</v>
      </c>
      <c r="Q44" s="5"/>
      <c r="R44" s="5"/>
      <c r="S44" s="5"/>
      <c r="T44" s="5"/>
      <c r="U44" s="5"/>
      <c r="V44" s="5"/>
      <c r="W44" s="5">
        <v>0</v>
      </c>
      <c r="X44" s="5">
        <v>1</v>
      </c>
      <c r="Y44" s="5">
        <v>0</v>
      </c>
      <c r="Z44" s="5">
        <v>0</v>
      </c>
      <c r="AA44" s="5">
        <v>1</v>
      </c>
      <c r="AB44" s="5">
        <v>0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226</v>
      </c>
      <c r="F45" s="5">
        <f>ROUND(Source!AW39,O45)</f>
        <v>0</v>
      </c>
      <c r="G45" s="5" t="s">
        <v>75</v>
      </c>
      <c r="H45" s="5" t="s">
        <v>76</v>
      </c>
      <c r="I45" s="5"/>
      <c r="J45" s="5"/>
      <c r="K45" s="5">
        <v>226</v>
      </c>
      <c r="L45" s="5">
        <v>5</v>
      </c>
      <c r="M45" s="5">
        <v>3</v>
      </c>
      <c r="N45" s="5" t="s">
        <v>3</v>
      </c>
      <c r="O45" s="5">
        <v>2</v>
      </c>
      <c r="P45" s="5">
        <f>ROUND(Source!EO39,O45)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227</v>
      </c>
      <c r="F46" s="5">
        <f>ROUND(Source!AX39,O46)</f>
        <v>0</v>
      </c>
      <c r="G46" s="5" t="s">
        <v>77</v>
      </c>
      <c r="H46" s="5" t="s">
        <v>78</v>
      </c>
      <c r="I46" s="5"/>
      <c r="J46" s="5"/>
      <c r="K46" s="5">
        <v>227</v>
      </c>
      <c r="L46" s="5">
        <v>6</v>
      </c>
      <c r="M46" s="5">
        <v>3</v>
      </c>
      <c r="N46" s="5" t="s">
        <v>3</v>
      </c>
      <c r="O46" s="5">
        <v>2</v>
      </c>
      <c r="P46" s="5">
        <f>ROUND(Source!EP39,O46)</f>
        <v>0</v>
      </c>
      <c r="Q46" s="5"/>
      <c r="R46" s="5"/>
      <c r="S46" s="5"/>
      <c r="T46" s="5"/>
      <c r="U46" s="5"/>
      <c r="V46" s="5"/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228</v>
      </c>
      <c r="F47" s="5">
        <f>ROUND(Source!AY39,O47)</f>
        <v>0</v>
      </c>
      <c r="G47" s="5" t="s">
        <v>79</v>
      </c>
      <c r="H47" s="5" t="s">
        <v>80</v>
      </c>
      <c r="I47" s="5"/>
      <c r="J47" s="5"/>
      <c r="K47" s="5">
        <v>228</v>
      </c>
      <c r="L47" s="5">
        <v>7</v>
      </c>
      <c r="M47" s="5">
        <v>3</v>
      </c>
      <c r="N47" s="5" t="s">
        <v>3</v>
      </c>
      <c r="O47" s="5">
        <v>2</v>
      </c>
      <c r="P47" s="5">
        <f>ROUND(Source!EQ39,O47)</f>
        <v>0</v>
      </c>
      <c r="Q47" s="5"/>
      <c r="R47" s="5"/>
      <c r="S47" s="5"/>
      <c r="T47" s="5"/>
      <c r="U47" s="5"/>
      <c r="V47" s="5"/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0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216</v>
      </c>
      <c r="F48" s="5">
        <f>ROUND(Source!AP39,O48)</f>
        <v>0</v>
      </c>
      <c r="G48" s="5" t="s">
        <v>81</v>
      </c>
      <c r="H48" s="5" t="s">
        <v>82</v>
      </c>
      <c r="I48" s="5"/>
      <c r="J48" s="5"/>
      <c r="K48" s="5">
        <v>216</v>
      </c>
      <c r="L48" s="5">
        <v>8</v>
      </c>
      <c r="M48" s="5">
        <v>3</v>
      </c>
      <c r="N48" s="5" t="s">
        <v>3</v>
      </c>
      <c r="O48" s="5">
        <v>2</v>
      </c>
      <c r="P48" s="5">
        <f>ROUND(Source!EH39,O48)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223</v>
      </c>
      <c r="F49" s="5">
        <f>ROUND(Source!AQ39,O49)</f>
        <v>0</v>
      </c>
      <c r="G49" s="5" t="s">
        <v>83</v>
      </c>
      <c r="H49" s="5" t="s">
        <v>84</v>
      </c>
      <c r="I49" s="5"/>
      <c r="J49" s="5"/>
      <c r="K49" s="5">
        <v>223</v>
      </c>
      <c r="L49" s="5">
        <v>9</v>
      </c>
      <c r="M49" s="5">
        <v>3</v>
      </c>
      <c r="N49" s="5" t="s">
        <v>3</v>
      </c>
      <c r="O49" s="5">
        <v>2</v>
      </c>
      <c r="P49" s="5">
        <f>ROUND(Source!EI39,O49)</f>
        <v>0</v>
      </c>
      <c r="Q49" s="5"/>
      <c r="R49" s="5"/>
      <c r="S49" s="5"/>
      <c r="T49" s="5"/>
      <c r="U49" s="5"/>
      <c r="V49" s="5"/>
      <c r="W49" s="5">
        <v>0</v>
      </c>
      <c r="X49" s="5">
        <v>1</v>
      </c>
      <c r="Y49" s="5">
        <v>0</v>
      </c>
      <c r="Z49" s="5">
        <v>0</v>
      </c>
      <c r="AA49" s="5">
        <v>1</v>
      </c>
      <c r="AB49" s="5">
        <v>0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229</v>
      </c>
      <c r="F50" s="5">
        <f>ROUND(Source!AZ39,O50)</f>
        <v>0</v>
      </c>
      <c r="G50" s="5" t="s">
        <v>85</v>
      </c>
      <c r="H50" s="5" t="s">
        <v>86</v>
      </c>
      <c r="I50" s="5"/>
      <c r="J50" s="5"/>
      <c r="K50" s="5">
        <v>229</v>
      </c>
      <c r="L50" s="5">
        <v>10</v>
      </c>
      <c r="M50" s="5">
        <v>3</v>
      </c>
      <c r="N50" s="5" t="s">
        <v>3</v>
      </c>
      <c r="O50" s="5">
        <v>2</v>
      </c>
      <c r="P50" s="5">
        <f>ROUND(Source!ER39,O50)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203</v>
      </c>
      <c r="F51" s="5">
        <f>ROUND(Source!Q39,O51)</f>
        <v>104.68</v>
      </c>
      <c r="G51" s="5" t="s">
        <v>87</v>
      </c>
      <c r="H51" s="5" t="s">
        <v>88</v>
      </c>
      <c r="I51" s="5"/>
      <c r="J51" s="5"/>
      <c r="K51" s="5">
        <v>203</v>
      </c>
      <c r="L51" s="5">
        <v>11</v>
      </c>
      <c r="M51" s="5">
        <v>3</v>
      </c>
      <c r="N51" s="5" t="s">
        <v>3</v>
      </c>
      <c r="O51" s="5">
        <v>2</v>
      </c>
      <c r="P51" s="5">
        <f>ROUND(Source!DI39,O51)</f>
        <v>104.68</v>
      </c>
      <c r="Q51" s="5"/>
      <c r="R51" s="5"/>
      <c r="S51" s="5"/>
      <c r="T51" s="5"/>
      <c r="U51" s="5"/>
      <c r="V51" s="5"/>
      <c r="W51" s="5">
        <v>104.68</v>
      </c>
      <c r="X51" s="5">
        <v>1</v>
      </c>
      <c r="Y51" s="5">
        <v>104.68</v>
      </c>
      <c r="Z51" s="5">
        <v>104.68</v>
      </c>
      <c r="AA51" s="5">
        <v>1</v>
      </c>
      <c r="AB51" s="5">
        <v>1357.7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231</v>
      </c>
      <c r="F52" s="5">
        <f>ROUND(Source!BB39,O52)</f>
        <v>0</v>
      </c>
      <c r="G52" s="5" t="s">
        <v>89</v>
      </c>
      <c r="H52" s="5" t="s">
        <v>90</v>
      </c>
      <c r="I52" s="5"/>
      <c r="J52" s="5"/>
      <c r="K52" s="5">
        <v>231</v>
      </c>
      <c r="L52" s="5">
        <v>12</v>
      </c>
      <c r="M52" s="5">
        <v>3</v>
      </c>
      <c r="N52" s="5" t="s">
        <v>3</v>
      </c>
      <c r="O52" s="5">
        <v>2</v>
      </c>
      <c r="P52" s="5">
        <f>ROUND(Source!ET39,O52)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204</v>
      </c>
      <c r="F53" s="5">
        <f>ROUND(Source!R39,O53)</f>
        <v>16.23</v>
      </c>
      <c r="G53" s="5" t="s">
        <v>91</v>
      </c>
      <c r="H53" s="5" t="s">
        <v>92</v>
      </c>
      <c r="I53" s="5"/>
      <c r="J53" s="5"/>
      <c r="K53" s="5">
        <v>204</v>
      </c>
      <c r="L53" s="5">
        <v>13</v>
      </c>
      <c r="M53" s="5">
        <v>3</v>
      </c>
      <c r="N53" s="5" t="s">
        <v>3</v>
      </c>
      <c r="O53" s="5">
        <v>2</v>
      </c>
      <c r="P53" s="5">
        <f>ROUND(Source!DJ39,O53)</f>
        <v>16.23</v>
      </c>
      <c r="Q53" s="5"/>
      <c r="R53" s="5"/>
      <c r="S53" s="5"/>
      <c r="T53" s="5"/>
      <c r="U53" s="5"/>
      <c r="V53" s="5"/>
      <c r="W53" s="5">
        <v>16.23</v>
      </c>
      <c r="X53" s="5">
        <v>1</v>
      </c>
      <c r="Y53" s="5">
        <v>16.23</v>
      </c>
      <c r="Z53" s="5">
        <v>16.23</v>
      </c>
      <c r="AA53" s="5">
        <v>1</v>
      </c>
      <c r="AB53" s="5">
        <v>591.91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205</v>
      </c>
      <c r="F54" s="5">
        <f>ROUND(Source!S39,O54)</f>
        <v>835.28</v>
      </c>
      <c r="G54" s="5" t="s">
        <v>93</v>
      </c>
      <c r="H54" s="5" t="s">
        <v>94</v>
      </c>
      <c r="I54" s="5"/>
      <c r="J54" s="5"/>
      <c r="K54" s="5">
        <v>205</v>
      </c>
      <c r="L54" s="5">
        <v>14</v>
      </c>
      <c r="M54" s="5">
        <v>3</v>
      </c>
      <c r="N54" s="5" t="s">
        <v>3</v>
      </c>
      <c r="O54" s="5">
        <v>2</v>
      </c>
      <c r="P54" s="5">
        <f>ROUND(Source!DK39,O54)</f>
        <v>835.28</v>
      </c>
      <c r="Q54" s="5"/>
      <c r="R54" s="5"/>
      <c r="S54" s="5"/>
      <c r="T54" s="5"/>
      <c r="U54" s="5"/>
      <c r="V54" s="5"/>
      <c r="W54" s="5">
        <v>835.28</v>
      </c>
      <c r="X54" s="5">
        <v>1</v>
      </c>
      <c r="Y54" s="5">
        <v>835.28</v>
      </c>
      <c r="Z54" s="5">
        <v>835.28</v>
      </c>
      <c r="AA54" s="5">
        <v>1</v>
      </c>
      <c r="AB54" s="5">
        <v>30462.67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232</v>
      </c>
      <c r="F55" s="5">
        <f>ROUND(Source!BC39,O55)</f>
        <v>0</v>
      </c>
      <c r="G55" s="5" t="s">
        <v>95</v>
      </c>
      <c r="H55" s="5" t="s">
        <v>96</v>
      </c>
      <c r="I55" s="5"/>
      <c r="J55" s="5"/>
      <c r="K55" s="5">
        <v>232</v>
      </c>
      <c r="L55" s="5">
        <v>15</v>
      </c>
      <c r="M55" s="5">
        <v>3</v>
      </c>
      <c r="N55" s="5" t="s">
        <v>3</v>
      </c>
      <c r="O55" s="5">
        <v>2</v>
      </c>
      <c r="P55" s="5">
        <f>ROUND(Source!EU39,O55)</f>
        <v>0</v>
      </c>
      <c r="Q55" s="5"/>
      <c r="R55" s="5"/>
      <c r="S55" s="5"/>
      <c r="T55" s="5"/>
      <c r="U55" s="5"/>
      <c r="V55" s="5"/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214</v>
      </c>
      <c r="F56" s="5">
        <f>ROUND(Source!AS39,O56)</f>
        <v>2626.79</v>
      </c>
      <c r="G56" s="5" t="s">
        <v>97</v>
      </c>
      <c r="H56" s="5" t="s">
        <v>98</v>
      </c>
      <c r="I56" s="5"/>
      <c r="J56" s="5"/>
      <c r="K56" s="5">
        <v>214</v>
      </c>
      <c r="L56" s="5">
        <v>16</v>
      </c>
      <c r="M56" s="5">
        <v>3</v>
      </c>
      <c r="N56" s="5" t="s">
        <v>3</v>
      </c>
      <c r="O56" s="5">
        <v>2</v>
      </c>
      <c r="P56" s="5">
        <f>ROUND(Source!EK39,O56)</f>
        <v>2626.79</v>
      </c>
      <c r="Q56" s="5"/>
      <c r="R56" s="5"/>
      <c r="S56" s="5"/>
      <c r="T56" s="5"/>
      <c r="U56" s="5"/>
      <c r="V56" s="5"/>
      <c r="W56" s="5">
        <v>2626.79</v>
      </c>
      <c r="X56" s="5">
        <v>1</v>
      </c>
      <c r="Y56" s="5">
        <v>2626.79</v>
      </c>
      <c r="Z56" s="5">
        <v>2626.79</v>
      </c>
      <c r="AA56" s="5">
        <v>1</v>
      </c>
      <c r="AB56" s="5">
        <v>93339.04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215</v>
      </c>
      <c r="F57" s="5">
        <f>ROUND(Source!AT39,O57)</f>
        <v>0</v>
      </c>
      <c r="G57" s="5" t="s">
        <v>99</v>
      </c>
      <c r="H57" s="5" t="s">
        <v>100</v>
      </c>
      <c r="I57" s="5"/>
      <c r="J57" s="5"/>
      <c r="K57" s="5">
        <v>215</v>
      </c>
      <c r="L57" s="5">
        <v>17</v>
      </c>
      <c r="M57" s="5">
        <v>3</v>
      </c>
      <c r="N57" s="5" t="s">
        <v>3</v>
      </c>
      <c r="O57" s="5">
        <v>2</v>
      </c>
      <c r="P57" s="5">
        <f>ROUND(Source!EL39,O57)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217</v>
      </c>
      <c r="F58" s="5">
        <f>ROUND(Source!AU39,O58)</f>
        <v>0</v>
      </c>
      <c r="G58" s="5" t="s">
        <v>101</v>
      </c>
      <c r="H58" s="5" t="s">
        <v>102</v>
      </c>
      <c r="I58" s="5"/>
      <c r="J58" s="5"/>
      <c r="K58" s="5">
        <v>217</v>
      </c>
      <c r="L58" s="5">
        <v>18</v>
      </c>
      <c r="M58" s="5">
        <v>3</v>
      </c>
      <c r="N58" s="5" t="s">
        <v>3</v>
      </c>
      <c r="O58" s="5">
        <v>2</v>
      </c>
      <c r="P58" s="5">
        <f>ROUND(Source!EM39,O58)</f>
        <v>0</v>
      </c>
      <c r="Q58" s="5"/>
      <c r="R58" s="5"/>
      <c r="S58" s="5"/>
      <c r="T58" s="5"/>
      <c r="U58" s="5"/>
      <c r="V58" s="5"/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230</v>
      </c>
      <c r="F59" s="5">
        <f>ROUND(Source!BA39,O59)</f>
        <v>0</v>
      </c>
      <c r="G59" s="5" t="s">
        <v>103</v>
      </c>
      <c r="H59" s="5" t="s">
        <v>104</v>
      </c>
      <c r="I59" s="5"/>
      <c r="J59" s="5"/>
      <c r="K59" s="5">
        <v>230</v>
      </c>
      <c r="L59" s="5">
        <v>19</v>
      </c>
      <c r="M59" s="5">
        <v>3</v>
      </c>
      <c r="N59" s="5" t="s">
        <v>3</v>
      </c>
      <c r="O59" s="5">
        <v>2</v>
      </c>
      <c r="P59" s="5">
        <f>ROUND(Source!ES39,O59)</f>
        <v>0</v>
      </c>
      <c r="Q59" s="5"/>
      <c r="R59" s="5"/>
      <c r="S59" s="5"/>
      <c r="T59" s="5"/>
      <c r="U59" s="5"/>
      <c r="V59" s="5"/>
      <c r="W59" s="5">
        <v>0</v>
      </c>
      <c r="X59" s="5">
        <v>1</v>
      </c>
      <c r="Y59" s="5">
        <v>0</v>
      </c>
      <c r="Z59" s="5">
        <v>0</v>
      </c>
      <c r="AA59" s="5">
        <v>1</v>
      </c>
      <c r="AB59" s="5">
        <v>0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206</v>
      </c>
      <c r="F60" s="5">
        <f>ROUND(Source!T39,O60)</f>
        <v>0</v>
      </c>
      <c r="G60" s="5" t="s">
        <v>105</v>
      </c>
      <c r="H60" s="5" t="s">
        <v>106</v>
      </c>
      <c r="I60" s="5"/>
      <c r="J60" s="5"/>
      <c r="K60" s="5">
        <v>206</v>
      </c>
      <c r="L60" s="5">
        <v>20</v>
      </c>
      <c r="M60" s="5">
        <v>3</v>
      </c>
      <c r="N60" s="5" t="s">
        <v>3</v>
      </c>
      <c r="O60" s="5">
        <v>2</v>
      </c>
      <c r="P60" s="5">
        <f>ROUND(Source!DL39,O60)</f>
        <v>0</v>
      </c>
      <c r="Q60" s="5"/>
      <c r="R60" s="5"/>
      <c r="S60" s="5"/>
      <c r="T60" s="5"/>
      <c r="U60" s="5"/>
      <c r="V60" s="5"/>
      <c r="W60" s="5">
        <v>0</v>
      </c>
      <c r="X60" s="5">
        <v>1</v>
      </c>
      <c r="Y60" s="5">
        <v>0</v>
      </c>
      <c r="Z60" s="5">
        <v>0</v>
      </c>
      <c r="AA60" s="5">
        <v>1</v>
      </c>
      <c r="AB60" s="5">
        <v>0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207</v>
      </c>
      <c r="F61" s="5">
        <f>Source!U39</f>
        <v>104.75059</v>
      </c>
      <c r="G61" s="5" t="s">
        <v>107</v>
      </c>
      <c r="H61" s="5" t="s">
        <v>108</v>
      </c>
      <c r="I61" s="5"/>
      <c r="J61" s="5"/>
      <c r="K61" s="5">
        <v>207</v>
      </c>
      <c r="L61" s="5">
        <v>21</v>
      </c>
      <c r="M61" s="5">
        <v>3</v>
      </c>
      <c r="N61" s="5" t="s">
        <v>3</v>
      </c>
      <c r="O61" s="5">
        <v>-1</v>
      </c>
      <c r="P61" s="5">
        <f>Source!DM39</f>
        <v>104.75059</v>
      </c>
      <c r="Q61" s="5"/>
      <c r="R61" s="5"/>
      <c r="S61" s="5"/>
      <c r="T61" s="5"/>
      <c r="U61" s="5"/>
      <c r="V61" s="5"/>
      <c r="W61" s="5">
        <v>104.75059</v>
      </c>
      <c r="X61" s="5">
        <v>1</v>
      </c>
      <c r="Y61" s="5">
        <v>104.75059</v>
      </c>
      <c r="Z61" s="5">
        <v>104.75059</v>
      </c>
      <c r="AA61" s="5">
        <v>1</v>
      </c>
      <c r="AB61" s="5">
        <v>104.75059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208</v>
      </c>
      <c r="F62" s="5">
        <f>Source!V39</f>
        <v>1.202025</v>
      </c>
      <c r="G62" s="5" t="s">
        <v>109</v>
      </c>
      <c r="H62" s="5" t="s">
        <v>110</v>
      </c>
      <c r="I62" s="5"/>
      <c r="J62" s="5"/>
      <c r="K62" s="5">
        <v>208</v>
      </c>
      <c r="L62" s="5">
        <v>22</v>
      </c>
      <c r="M62" s="5">
        <v>3</v>
      </c>
      <c r="N62" s="5" t="s">
        <v>3</v>
      </c>
      <c r="O62" s="5">
        <v>-1</v>
      </c>
      <c r="P62" s="5">
        <f>Source!DN39</f>
        <v>1.202025</v>
      </c>
      <c r="Q62" s="5"/>
      <c r="R62" s="5"/>
      <c r="S62" s="5"/>
      <c r="T62" s="5"/>
      <c r="U62" s="5"/>
      <c r="V62" s="5"/>
      <c r="W62" s="5">
        <v>1.202025</v>
      </c>
      <c r="X62" s="5">
        <v>1</v>
      </c>
      <c r="Y62" s="5">
        <v>1.202025</v>
      </c>
      <c r="Z62" s="5">
        <v>1.202025</v>
      </c>
      <c r="AA62" s="5">
        <v>1</v>
      </c>
      <c r="AB62" s="5">
        <v>1.202025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209</v>
      </c>
      <c r="F63" s="5">
        <f>ROUND(Source!W39,O63)</f>
        <v>0</v>
      </c>
      <c r="G63" s="5" t="s">
        <v>111</v>
      </c>
      <c r="H63" s="5" t="s">
        <v>112</v>
      </c>
      <c r="I63" s="5"/>
      <c r="J63" s="5"/>
      <c r="K63" s="5">
        <v>209</v>
      </c>
      <c r="L63" s="5">
        <v>23</v>
      </c>
      <c r="M63" s="5">
        <v>3</v>
      </c>
      <c r="N63" s="5" t="s">
        <v>3</v>
      </c>
      <c r="O63" s="5">
        <v>2</v>
      </c>
      <c r="P63" s="5">
        <f>ROUND(Source!DO39,O63)</f>
        <v>0</v>
      </c>
      <c r="Q63" s="5"/>
      <c r="R63" s="5"/>
      <c r="S63" s="5"/>
      <c r="T63" s="5"/>
      <c r="U63" s="5"/>
      <c r="V63" s="5"/>
      <c r="W63" s="5">
        <v>0</v>
      </c>
      <c r="X63" s="5">
        <v>1</v>
      </c>
      <c r="Y63" s="5">
        <v>0</v>
      </c>
      <c r="Z63" s="5">
        <v>0</v>
      </c>
      <c r="AA63" s="5">
        <v>1</v>
      </c>
      <c r="AB63" s="5">
        <v>0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233</v>
      </c>
      <c r="F64" s="5">
        <f>ROUND(Source!BD39,O64)</f>
        <v>0</v>
      </c>
      <c r="G64" s="5" t="s">
        <v>113</v>
      </c>
      <c r="H64" s="5" t="s">
        <v>114</v>
      </c>
      <c r="I64" s="5"/>
      <c r="J64" s="5"/>
      <c r="K64" s="5">
        <v>233</v>
      </c>
      <c r="L64" s="5">
        <v>24</v>
      </c>
      <c r="M64" s="5">
        <v>3</v>
      </c>
      <c r="N64" s="5" t="s">
        <v>3</v>
      </c>
      <c r="O64" s="5">
        <v>2</v>
      </c>
      <c r="P64" s="5">
        <f>ROUND(Source!EV39,O64)</f>
        <v>0</v>
      </c>
      <c r="Q64" s="5"/>
      <c r="R64" s="5"/>
      <c r="S64" s="5"/>
      <c r="T64" s="5"/>
      <c r="U64" s="5"/>
      <c r="V64" s="5"/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210</v>
      </c>
      <c r="F65" s="5">
        <f>ROUND(Source!X39,O65)</f>
        <v>979.54</v>
      </c>
      <c r="G65" s="5" t="s">
        <v>115</v>
      </c>
      <c r="H65" s="5" t="s">
        <v>116</v>
      </c>
      <c r="I65" s="5"/>
      <c r="J65" s="5"/>
      <c r="K65" s="5">
        <v>210</v>
      </c>
      <c r="L65" s="5">
        <v>25</v>
      </c>
      <c r="M65" s="5">
        <v>3</v>
      </c>
      <c r="N65" s="5" t="s">
        <v>3</v>
      </c>
      <c r="O65" s="5">
        <v>2</v>
      </c>
      <c r="P65" s="5">
        <f>ROUND(Source!DP39,O65)</f>
        <v>979.54</v>
      </c>
      <c r="Q65" s="5"/>
      <c r="R65" s="5"/>
      <c r="S65" s="5"/>
      <c r="T65" s="5"/>
      <c r="U65" s="5"/>
      <c r="V65" s="5"/>
      <c r="W65" s="5">
        <v>979.54</v>
      </c>
      <c r="X65" s="5">
        <v>1</v>
      </c>
      <c r="Y65" s="5">
        <v>979.54</v>
      </c>
      <c r="Z65" s="5">
        <v>979.54</v>
      </c>
      <c r="AA65" s="5">
        <v>1</v>
      </c>
      <c r="AB65" s="5">
        <v>35723.97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211</v>
      </c>
      <c r="F66" s="5">
        <f>ROUND(Source!Y39,O66)</f>
        <v>707.29</v>
      </c>
      <c r="G66" s="5" t="s">
        <v>117</v>
      </c>
      <c r="H66" s="5" t="s">
        <v>118</v>
      </c>
      <c r="I66" s="5"/>
      <c r="J66" s="5"/>
      <c r="K66" s="5">
        <v>211</v>
      </c>
      <c r="L66" s="5">
        <v>26</v>
      </c>
      <c r="M66" s="5">
        <v>3</v>
      </c>
      <c r="N66" s="5" t="s">
        <v>3</v>
      </c>
      <c r="O66" s="5">
        <v>2</v>
      </c>
      <c r="P66" s="5">
        <f>ROUND(Source!DQ39,O66)</f>
        <v>707.29</v>
      </c>
      <c r="Q66" s="5"/>
      <c r="R66" s="5"/>
      <c r="S66" s="5"/>
      <c r="T66" s="5"/>
      <c r="U66" s="5"/>
      <c r="V66" s="5"/>
      <c r="W66" s="5">
        <v>707.29</v>
      </c>
      <c r="X66" s="5">
        <v>1</v>
      </c>
      <c r="Y66" s="5">
        <v>707.29</v>
      </c>
      <c r="Z66" s="5">
        <v>707.29</v>
      </c>
      <c r="AA66" s="5">
        <v>1</v>
      </c>
      <c r="AB66" s="5">
        <v>25794.699999999997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224</v>
      </c>
      <c r="F67" s="5">
        <f>ROUND(Source!AR39,O67)</f>
        <v>2626.79</v>
      </c>
      <c r="G67" s="5" t="s">
        <v>119</v>
      </c>
      <c r="H67" s="5" t="s">
        <v>120</v>
      </c>
      <c r="I67" s="5"/>
      <c r="J67" s="5"/>
      <c r="K67" s="5">
        <v>224</v>
      </c>
      <c r="L67" s="5">
        <v>27</v>
      </c>
      <c r="M67" s="5">
        <v>3</v>
      </c>
      <c r="N67" s="5" t="s">
        <v>3</v>
      </c>
      <c r="O67" s="5">
        <v>2</v>
      </c>
      <c r="P67" s="5">
        <f>ROUND(Source!EJ39,O67)</f>
        <v>2626.79</v>
      </c>
      <c r="Q67" s="5"/>
      <c r="R67" s="5"/>
      <c r="S67" s="5"/>
      <c r="T67" s="5"/>
      <c r="U67" s="5"/>
      <c r="V67" s="5"/>
      <c r="W67" s="5">
        <v>2626.79</v>
      </c>
      <c r="X67" s="5">
        <v>1</v>
      </c>
      <c r="Y67" s="5">
        <v>2626.79</v>
      </c>
      <c r="Z67" s="5">
        <v>2626.79</v>
      </c>
      <c r="AA67" s="5">
        <v>1</v>
      </c>
      <c r="AB67" s="5">
        <v>93339.04</v>
      </c>
    </row>
    <row r="68" spans="1:28" ht="12.75">
      <c r="A68" s="5">
        <v>50</v>
      </c>
      <c r="B68" s="5">
        <v>1</v>
      </c>
      <c r="C68" s="5">
        <v>0</v>
      </c>
      <c r="D68" s="5">
        <v>2</v>
      </c>
      <c r="E68" s="5">
        <v>0</v>
      </c>
      <c r="F68" s="5">
        <f>ROUND(F67,O68)</f>
        <v>2626.79</v>
      </c>
      <c r="G68" s="5" t="s">
        <v>121</v>
      </c>
      <c r="H68" s="5" t="s">
        <v>122</v>
      </c>
      <c r="I68" s="5"/>
      <c r="J68" s="5"/>
      <c r="K68" s="5">
        <v>212</v>
      </c>
      <c r="L68" s="5">
        <v>28</v>
      </c>
      <c r="M68" s="5">
        <v>0</v>
      </c>
      <c r="N68" s="5" t="s">
        <v>3</v>
      </c>
      <c r="O68" s="5">
        <v>2</v>
      </c>
      <c r="P68" s="5">
        <f>ROUND(P67,O68)</f>
        <v>2626.79</v>
      </c>
      <c r="Q68" s="5"/>
      <c r="R68" s="5"/>
      <c r="S68" s="5"/>
      <c r="T68" s="5"/>
      <c r="U68" s="5"/>
      <c r="V68" s="5"/>
      <c r="W68" s="5">
        <v>2626.79</v>
      </c>
      <c r="X68" s="5">
        <v>1</v>
      </c>
      <c r="Y68" s="5">
        <v>2626.79</v>
      </c>
      <c r="Z68" s="5">
        <v>2626.79</v>
      </c>
      <c r="AA68" s="5">
        <v>1</v>
      </c>
      <c r="AB68" s="5">
        <v>93339.04</v>
      </c>
    </row>
    <row r="70" spans="1:88" ht="12.75">
      <c r="A70" s="1">
        <v>4</v>
      </c>
      <c r="B70" s="1">
        <v>1</v>
      </c>
      <c r="C70" s="1"/>
      <c r="D70" s="1">
        <f>ROW(A129)</f>
        <v>129</v>
      </c>
      <c r="E70" s="1"/>
      <c r="F70" s="1" t="s">
        <v>3</v>
      </c>
      <c r="G70" s="1" t="s">
        <v>123</v>
      </c>
      <c r="H70" s="1" t="s">
        <v>3</v>
      </c>
      <c r="I70" s="1">
        <v>0</v>
      </c>
      <c r="J70" s="1"/>
      <c r="K70" s="1">
        <v>-1</v>
      </c>
      <c r="L70" s="1"/>
      <c r="M70" s="1" t="s">
        <v>3</v>
      </c>
      <c r="N70" s="1"/>
      <c r="O70" s="1"/>
      <c r="P70" s="1"/>
      <c r="Q70" s="1"/>
      <c r="R70" s="1"/>
      <c r="S70" s="1">
        <v>0</v>
      </c>
      <c r="T70" s="1">
        <v>55463413</v>
      </c>
      <c r="U70" s="1" t="s">
        <v>3</v>
      </c>
      <c r="V70" s="1">
        <v>0</v>
      </c>
      <c r="W70" s="1"/>
      <c r="X70" s="1"/>
      <c r="Y70" s="1"/>
      <c r="Z70" s="1"/>
      <c r="AA70" s="1"/>
      <c r="AB70" s="1" t="s">
        <v>3</v>
      </c>
      <c r="AC70" s="1" t="s">
        <v>3</v>
      </c>
      <c r="AD70" s="1" t="s">
        <v>3</v>
      </c>
      <c r="AE70" s="1" t="s">
        <v>3</v>
      </c>
      <c r="AF70" s="1" t="s">
        <v>3</v>
      </c>
      <c r="AG70" s="1" t="s">
        <v>3</v>
      </c>
      <c r="AH70" s="1"/>
      <c r="AI70" s="1"/>
      <c r="AJ70" s="1"/>
      <c r="AK70" s="1"/>
      <c r="AL70" s="1"/>
      <c r="AM70" s="1"/>
      <c r="AN70" s="1"/>
      <c r="AO70" s="1"/>
      <c r="AP70" s="1" t="s">
        <v>3</v>
      </c>
      <c r="AQ70" s="1" t="s">
        <v>3</v>
      </c>
      <c r="AR70" s="1" t="s">
        <v>3</v>
      </c>
      <c r="AS70" s="1"/>
      <c r="AT70" s="1"/>
      <c r="AU70" s="1"/>
      <c r="AV70" s="1"/>
      <c r="AW70" s="1"/>
      <c r="AX70" s="1"/>
      <c r="AY70" s="1"/>
      <c r="AZ70" s="1" t="s">
        <v>3</v>
      </c>
      <c r="BA70" s="1"/>
      <c r="BB70" s="1" t="s">
        <v>3</v>
      </c>
      <c r="BC70" s="1" t="s">
        <v>3</v>
      </c>
      <c r="BD70" s="1" t="s">
        <v>3</v>
      </c>
      <c r="BE70" s="1" t="s">
        <v>3</v>
      </c>
      <c r="BF70" s="1" t="s">
        <v>3</v>
      </c>
      <c r="BG70" s="1" t="s">
        <v>3</v>
      </c>
      <c r="BH70" s="1" t="s">
        <v>3</v>
      </c>
      <c r="BI70" s="1" t="s">
        <v>3</v>
      </c>
      <c r="BJ70" s="1" t="s">
        <v>3</v>
      </c>
      <c r="BK70" s="1" t="s">
        <v>3</v>
      </c>
      <c r="BL70" s="1" t="s">
        <v>3</v>
      </c>
      <c r="BM70" s="1" t="s">
        <v>3</v>
      </c>
      <c r="BN70" s="1" t="s">
        <v>3</v>
      </c>
      <c r="BO70" s="1" t="s">
        <v>3</v>
      </c>
      <c r="BP70" s="1" t="s">
        <v>3</v>
      </c>
      <c r="BQ70" s="1"/>
      <c r="BR70" s="1"/>
      <c r="BS70" s="1"/>
      <c r="BT70" s="1"/>
      <c r="BU70" s="1"/>
      <c r="BV70" s="1"/>
      <c r="BW70" s="1"/>
      <c r="BX70" s="1"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>
        <v>0</v>
      </c>
    </row>
    <row r="72" spans="1:206" ht="12.75">
      <c r="A72" s="3">
        <v>52</v>
      </c>
      <c r="B72" s="3">
        <f aca="true" t="shared" si="67" ref="B72:G72">B129</f>
        <v>1</v>
      </c>
      <c r="C72" s="3">
        <f t="shared" si="67"/>
        <v>4</v>
      </c>
      <c r="D72" s="3">
        <f t="shared" si="67"/>
        <v>70</v>
      </c>
      <c r="E72" s="3">
        <f t="shared" si="67"/>
        <v>0</v>
      </c>
      <c r="F72" s="3">
        <f t="shared" si="67"/>
      </c>
      <c r="G72" s="3" t="str">
        <f t="shared" si="67"/>
        <v>Монтажные работы</v>
      </c>
      <c r="H72" s="3"/>
      <c r="I72" s="3"/>
      <c r="J72" s="3"/>
      <c r="K72" s="3"/>
      <c r="L72" s="3"/>
      <c r="M72" s="3"/>
      <c r="N72" s="3"/>
      <c r="O72" s="3">
        <f aca="true" t="shared" si="68" ref="O72:AT72">O129</f>
        <v>142414.79</v>
      </c>
      <c r="P72" s="3">
        <f t="shared" si="68"/>
        <v>132624.83</v>
      </c>
      <c r="Q72" s="3">
        <f t="shared" si="68"/>
        <v>1840.46</v>
      </c>
      <c r="R72" s="3">
        <f t="shared" si="68"/>
        <v>305.02</v>
      </c>
      <c r="S72" s="3">
        <f t="shared" si="68"/>
        <v>7949.5</v>
      </c>
      <c r="T72" s="3">
        <f t="shared" si="68"/>
        <v>0</v>
      </c>
      <c r="U72" s="3">
        <f t="shared" si="68"/>
        <v>866.0558995</v>
      </c>
      <c r="V72" s="3">
        <f t="shared" si="68"/>
        <v>27.55787</v>
      </c>
      <c r="W72" s="3">
        <f t="shared" si="68"/>
        <v>0</v>
      </c>
      <c r="X72" s="3">
        <f t="shared" si="68"/>
        <v>9425.43</v>
      </c>
      <c r="Y72" s="3">
        <f t="shared" si="68"/>
        <v>6706.67</v>
      </c>
      <c r="Z72" s="3">
        <f t="shared" si="68"/>
        <v>0</v>
      </c>
      <c r="AA72" s="3">
        <f t="shared" si="68"/>
        <v>0</v>
      </c>
      <c r="AB72" s="3">
        <f t="shared" si="68"/>
        <v>142414.79</v>
      </c>
      <c r="AC72" s="3">
        <f t="shared" si="68"/>
        <v>132624.83</v>
      </c>
      <c r="AD72" s="3">
        <f t="shared" si="68"/>
        <v>1840.46</v>
      </c>
      <c r="AE72" s="3">
        <f t="shared" si="68"/>
        <v>305.02</v>
      </c>
      <c r="AF72" s="3">
        <f t="shared" si="68"/>
        <v>7949.5</v>
      </c>
      <c r="AG72" s="3">
        <f t="shared" si="68"/>
        <v>0</v>
      </c>
      <c r="AH72" s="3">
        <f t="shared" si="68"/>
        <v>866.0558995</v>
      </c>
      <c r="AI72" s="3">
        <f t="shared" si="68"/>
        <v>27.55787</v>
      </c>
      <c r="AJ72" s="3">
        <f t="shared" si="68"/>
        <v>0</v>
      </c>
      <c r="AK72" s="3">
        <f t="shared" si="68"/>
        <v>9425.43</v>
      </c>
      <c r="AL72" s="3">
        <f t="shared" si="68"/>
        <v>6706.67</v>
      </c>
      <c r="AM72" s="3">
        <f t="shared" si="68"/>
        <v>0</v>
      </c>
      <c r="AN72" s="3">
        <f t="shared" si="68"/>
        <v>0</v>
      </c>
      <c r="AO72" s="3">
        <f t="shared" si="68"/>
        <v>0</v>
      </c>
      <c r="AP72" s="3">
        <f t="shared" si="68"/>
        <v>0</v>
      </c>
      <c r="AQ72" s="3">
        <f t="shared" si="68"/>
        <v>0</v>
      </c>
      <c r="AR72" s="3">
        <f t="shared" si="68"/>
        <v>158546.89</v>
      </c>
      <c r="AS72" s="3">
        <f t="shared" si="68"/>
        <v>158546.89</v>
      </c>
      <c r="AT72" s="3">
        <f t="shared" si="68"/>
        <v>0</v>
      </c>
      <c r="AU72" s="3">
        <f aca="true" t="shared" si="69" ref="AU72:BZ72">AU129</f>
        <v>0</v>
      </c>
      <c r="AV72" s="3">
        <f t="shared" si="69"/>
        <v>132624.83</v>
      </c>
      <c r="AW72" s="3">
        <f t="shared" si="69"/>
        <v>132624.83</v>
      </c>
      <c r="AX72" s="3">
        <f t="shared" si="69"/>
        <v>0</v>
      </c>
      <c r="AY72" s="3">
        <f t="shared" si="69"/>
        <v>132624.83</v>
      </c>
      <c r="AZ72" s="3">
        <f t="shared" si="69"/>
        <v>0</v>
      </c>
      <c r="BA72" s="3">
        <f t="shared" si="69"/>
        <v>0</v>
      </c>
      <c r="BB72" s="3">
        <f t="shared" si="69"/>
        <v>0</v>
      </c>
      <c r="BC72" s="3">
        <f t="shared" si="69"/>
        <v>0</v>
      </c>
      <c r="BD72" s="3">
        <f t="shared" si="69"/>
        <v>0</v>
      </c>
      <c r="BE72" s="3">
        <f t="shared" si="69"/>
        <v>0</v>
      </c>
      <c r="BF72" s="3">
        <f t="shared" si="69"/>
        <v>0</v>
      </c>
      <c r="BG72" s="3">
        <f t="shared" si="69"/>
        <v>0</v>
      </c>
      <c r="BH72" s="3">
        <f t="shared" si="69"/>
        <v>0</v>
      </c>
      <c r="BI72" s="3">
        <f t="shared" si="69"/>
        <v>0</v>
      </c>
      <c r="BJ72" s="3">
        <f t="shared" si="69"/>
        <v>0</v>
      </c>
      <c r="BK72" s="3">
        <f t="shared" si="69"/>
        <v>0</v>
      </c>
      <c r="BL72" s="3">
        <f t="shared" si="69"/>
        <v>0</v>
      </c>
      <c r="BM72" s="3">
        <f t="shared" si="69"/>
        <v>0</v>
      </c>
      <c r="BN72" s="3">
        <f t="shared" si="69"/>
        <v>0</v>
      </c>
      <c r="BO72" s="3">
        <f t="shared" si="69"/>
        <v>0</v>
      </c>
      <c r="BP72" s="3">
        <f t="shared" si="69"/>
        <v>0</v>
      </c>
      <c r="BQ72" s="3">
        <f t="shared" si="69"/>
        <v>0</v>
      </c>
      <c r="BR72" s="3">
        <f t="shared" si="69"/>
        <v>0</v>
      </c>
      <c r="BS72" s="3">
        <f t="shared" si="69"/>
        <v>0</v>
      </c>
      <c r="BT72" s="3">
        <f t="shared" si="69"/>
        <v>0</v>
      </c>
      <c r="BU72" s="3">
        <f t="shared" si="69"/>
        <v>0</v>
      </c>
      <c r="BV72" s="3">
        <f t="shared" si="69"/>
        <v>0</v>
      </c>
      <c r="BW72" s="3">
        <f t="shared" si="69"/>
        <v>0</v>
      </c>
      <c r="BX72" s="3">
        <f t="shared" si="69"/>
        <v>0</v>
      </c>
      <c r="BY72" s="3">
        <f t="shared" si="69"/>
        <v>0</v>
      </c>
      <c r="BZ72" s="3">
        <f t="shared" si="69"/>
        <v>0</v>
      </c>
      <c r="CA72" s="3">
        <f aca="true" t="shared" si="70" ref="CA72:DF72">CA129</f>
        <v>158546.89</v>
      </c>
      <c r="CB72" s="3">
        <f t="shared" si="70"/>
        <v>158546.89</v>
      </c>
      <c r="CC72" s="3">
        <f t="shared" si="70"/>
        <v>0</v>
      </c>
      <c r="CD72" s="3">
        <f t="shared" si="70"/>
        <v>0</v>
      </c>
      <c r="CE72" s="3">
        <f t="shared" si="70"/>
        <v>132624.83</v>
      </c>
      <c r="CF72" s="3">
        <f t="shared" si="70"/>
        <v>132624.83</v>
      </c>
      <c r="CG72" s="3">
        <f t="shared" si="70"/>
        <v>0</v>
      </c>
      <c r="CH72" s="3">
        <f t="shared" si="70"/>
        <v>132624.83</v>
      </c>
      <c r="CI72" s="3">
        <f t="shared" si="70"/>
        <v>0</v>
      </c>
      <c r="CJ72" s="3">
        <f t="shared" si="70"/>
        <v>0</v>
      </c>
      <c r="CK72" s="3">
        <f t="shared" si="70"/>
        <v>0</v>
      </c>
      <c r="CL72" s="3">
        <f t="shared" si="70"/>
        <v>0</v>
      </c>
      <c r="CM72" s="3">
        <f t="shared" si="70"/>
        <v>0</v>
      </c>
      <c r="CN72" s="3">
        <f t="shared" si="70"/>
        <v>0</v>
      </c>
      <c r="CO72" s="3">
        <f t="shared" si="70"/>
        <v>0</v>
      </c>
      <c r="CP72" s="3">
        <f t="shared" si="70"/>
        <v>0</v>
      </c>
      <c r="CQ72" s="3">
        <f t="shared" si="70"/>
        <v>0</v>
      </c>
      <c r="CR72" s="3">
        <f t="shared" si="70"/>
        <v>0</v>
      </c>
      <c r="CS72" s="3">
        <f t="shared" si="70"/>
        <v>0</v>
      </c>
      <c r="CT72" s="3">
        <f t="shared" si="70"/>
        <v>0</v>
      </c>
      <c r="CU72" s="3">
        <f t="shared" si="70"/>
        <v>0</v>
      </c>
      <c r="CV72" s="3">
        <f t="shared" si="70"/>
        <v>0</v>
      </c>
      <c r="CW72" s="3">
        <f t="shared" si="70"/>
        <v>0</v>
      </c>
      <c r="CX72" s="3">
        <f t="shared" si="70"/>
        <v>0</v>
      </c>
      <c r="CY72" s="3">
        <f t="shared" si="70"/>
        <v>0</v>
      </c>
      <c r="CZ72" s="3">
        <f t="shared" si="70"/>
        <v>0</v>
      </c>
      <c r="DA72" s="3">
        <f t="shared" si="70"/>
        <v>0</v>
      </c>
      <c r="DB72" s="3">
        <f t="shared" si="70"/>
        <v>0</v>
      </c>
      <c r="DC72" s="3">
        <f t="shared" si="70"/>
        <v>0</v>
      </c>
      <c r="DD72" s="3">
        <f t="shared" si="70"/>
        <v>0</v>
      </c>
      <c r="DE72" s="3">
        <f t="shared" si="70"/>
        <v>0</v>
      </c>
      <c r="DF72" s="3">
        <f t="shared" si="70"/>
        <v>0</v>
      </c>
      <c r="DG72" s="4">
        <f aca="true" t="shared" si="71" ref="DG72:EL72">DG129</f>
        <v>142414.79</v>
      </c>
      <c r="DH72" s="4">
        <f t="shared" si="71"/>
        <v>132624.83</v>
      </c>
      <c r="DI72" s="4">
        <f t="shared" si="71"/>
        <v>1840.46</v>
      </c>
      <c r="DJ72" s="4">
        <f t="shared" si="71"/>
        <v>305.02</v>
      </c>
      <c r="DK72" s="4">
        <f t="shared" si="71"/>
        <v>7949.5</v>
      </c>
      <c r="DL72" s="4">
        <f t="shared" si="71"/>
        <v>0</v>
      </c>
      <c r="DM72" s="4">
        <f t="shared" si="71"/>
        <v>866.0558995</v>
      </c>
      <c r="DN72" s="4">
        <f t="shared" si="71"/>
        <v>27.55787</v>
      </c>
      <c r="DO72" s="4">
        <f t="shared" si="71"/>
        <v>0</v>
      </c>
      <c r="DP72" s="4">
        <f t="shared" si="71"/>
        <v>9425.43</v>
      </c>
      <c r="DQ72" s="4">
        <f t="shared" si="71"/>
        <v>6706.67</v>
      </c>
      <c r="DR72" s="4">
        <f t="shared" si="71"/>
        <v>0</v>
      </c>
      <c r="DS72" s="4">
        <f t="shared" si="71"/>
        <v>0</v>
      </c>
      <c r="DT72" s="4">
        <f t="shared" si="71"/>
        <v>142414.79</v>
      </c>
      <c r="DU72" s="4">
        <f t="shared" si="71"/>
        <v>132624.83</v>
      </c>
      <c r="DV72" s="4">
        <f t="shared" si="71"/>
        <v>1840.46</v>
      </c>
      <c r="DW72" s="4">
        <f t="shared" si="71"/>
        <v>305.02</v>
      </c>
      <c r="DX72" s="4">
        <f t="shared" si="71"/>
        <v>7949.5</v>
      </c>
      <c r="DY72" s="4">
        <f t="shared" si="71"/>
        <v>0</v>
      </c>
      <c r="DZ72" s="4">
        <f t="shared" si="71"/>
        <v>866.0558995</v>
      </c>
      <c r="EA72" s="4">
        <f t="shared" si="71"/>
        <v>27.55787</v>
      </c>
      <c r="EB72" s="4">
        <f t="shared" si="71"/>
        <v>0</v>
      </c>
      <c r="EC72" s="4">
        <f t="shared" si="71"/>
        <v>9425.43</v>
      </c>
      <c r="ED72" s="4">
        <f t="shared" si="71"/>
        <v>6706.67</v>
      </c>
      <c r="EE72" s="4">
        <f t="shared" si="71"/>
        <v>0</v>
      </c>
      <c r="EF72" s="4">
        <f t="shared" si="71"/>
        <v>0</v>
      </c>
      <c r="EG72" s="4">
        <f t="shared" si="71"/>
        <v>0</v>
      </c>
      <c r="EH72" s="4">
        <f t="shared" si="71"/>
        <v>0</v>
      </c>
      <c r="EI72" s="4">
        <f t="shared" si="71"/>
        <v>0</v>
      </c>
      <c r="EJ72" s="4">
        <f t="shared" si="71"/>
        <v>158546.89</v>
      </c>
      <c r="EK72" s="4">
        <f t="shared" si="71"/>
        <v>158546.89</v>
      </c>
      <c r="EL72" s="4">
        <f t="shared" si="71"/>
        <v>0</v>
      </c>
      <c r="EM72" s="4">
        <f aca="true" t="shared" si="72" ref="EM72:FR72">EM129</f>
        <v>0</v>
      </c>
      <c r="EN72" s="4">
        <f t="shared" si="72"/>
        <v>132624.83</v>
      </c>
      <c r="EO72" s="4">
        <f t="shared" si="72"/>
        <v>132624.83</v>
      </c>
      <c r="EP72" s="4">
        <f t="shared" si="72"/>
        <v>0</v>
      </c>
      <c r="EQ72" s="4">
        <f t="shared" si="72"/>
        <v>132624.83</v>
      </c>
      <c r="ER72" s="4">
        <f t="shared" si="72"/>
        <v>0</v>
      </c>
      <c r="ES72" s="4">
        <f t="shared" si="72"/>
        <v>0</v>
      </c>
      <c r="ET72" s="4">
        <f t="shared" si="72"/>
        <v>0</v>
      </c>
      <c r="EU72" s="4">
        <f t="shared" si="72"/>
        <v>0</v>
      </c>
      <c r="EV72" s="4">
        <f t="shared" si="72"/>
        <v>0</v>
      </c>
      <c r="EW72" s="4">
        <f t="shared" si="72"/>
        <v>0</v>
      </c>
      <c r="EX72" s="4">
        <f t="shared" si="72"/>
        <v>0</v>
      </c>
      <c r="EY72" s="4">
        <f t="shared" si="72"/>
        <v>0</v>
      </c>
      <c r="EZ72" s="4">
        <f t="shared" si="72"/>
        <v>0</v>
      </c>
      <c r="FA72" s="4">
        <f t="shared" si="72"/>
        <v>0</v>
      </c>
      <c r="FB72" s="4">
        <f t="shared" si="72"/>
        <v>0</v>
      </c>
      <c r="FC72" s="4">
        <f t="shared" si="72"/>
        <v>0</v>
      </c>
      <c r="FD72" s="4">
        <f t="shared" si="72"/>
        <v>0</v>
      </c>
      <c r="FE72" s="4">
        <f t="shared" si="72"/>
        <v>0</v>
      </c>
      <c r="FF72" s="4">
        <f t="shared" si="72"/>
        <v>0</v>
      </c>
      <c r="FG72" s="4">
        <f t="shared" si="72"/>
        <v>0</v>
      </c>
      <c r="FH72" s="4">
        <f t="shared" si="72"/>
        <v>0</v>
      </c>
      <c r="FI72" s="4">
        <f t="shared" si="72"/>
        <v>0</v>
      </c>
      <c r="FJ72" s="4">
        <f t="shared" si="72"/>
        <v>0</v>
      </c>
      <c r="FK72" s="4">
        <f t="shared" si="72"/>
        <v>0</v>
      </c>
      <c r="FL72" s="4">
        <f t="shared" si="72"/>
        <v>0</v>
      </c>
      <c r="FM72" s="4">
        <f t="shared" si="72"/>
        <v>0</v>
      </c>
      <c r="FN72" s="4">
        <f t="shared" si="72"/>
        <v>0</v>
      </c>
      <c r="FO72" s="4">
        <f t="shared" si="72"/>
        <v>0</v>
      </c>
      <c r="FP72" s="4">
        <f t="shared" si="72"/>
        <v>0</v>
      </c>
      <c r="FQ72" s="4">
        <f t="shared" si="72"/>
        <v>0</v>
      </c>
      <c r="FR72" s="4">
        <f t="shared" si="72"/>
        <v>0</v>
      </c>
      <c r="FS72" s="4">
        <f aca="true" t="shared" si="73" ref="FS72:GX72">FS129</f>
        <v>158546.89</v>
      </c>
      <c r="FT72" s="4">
        <f t="shared" si="73"/>
        <v>158546.89</v>
      </c>
      <c r="FU72" s="4">
        <f t="shared" si="73"/>
        <v>0</v>
      </c>
      <c r="FV72" s="4">
        <f t="shared" si="73"/>
        <v>0</v>
      </c>
      <c r="FW72" s="4">
        <f t="shared" si="73"/>
        <v>132624.83</v>
      </c>
      <c r="FX72" s="4">
        <f t="shared" si="73"/>
        <v>132624.83</v>
      </c>
      <c r="FY72" s="4">
        <f t="shared" si="73"/>
        <v>0</v>
      </c>
      <c r="FZ72" s="4">
        <f t="shared" si="73"/>
        <v>132624.83</v>
      </c>
      <c r="GA72" s="4">
        <f t="shared" si="73"/>
        <v>0</v>
      </c>
      <c r="GB72" s="4">
        <f t="shared" si="73"/>
        <v>0</v>
      </c>
      <c r="GC72" s="4">
        <f t="shared" si="73"/>
        <v>0</v>
      </c>
      <c r="GD72" s="4">
        <f t="shared" si="73"/>
        <v>0</v>
      </c>
      <c r="GE72" s="4">
        <f t="shared" si="73"/>
        <v>0</v>
      </c>
      <c r="GF72" s="4">
        <f t="shared" si="73"/>
        <v>0</v>
      </c>
      <c r="GG72" s="4">
        <f t="shared" si="73"/>
        <v>0</v>
      </c>
      <c r="GH72" s="4">
        <f t="shared" si="73"/>
        <v>0</v>
      </c>
      <c r="GI72" s="4">
        <f t="shared" si="73"/>
        <v>0</v>
      </c>
      <c r="GJ72" s="4">
        <f t="shared" si="73"/>
        <v>0</v>
      </c>
      <c r="GK72" s="4">
        <f t="shared" si="73"/>
        <v>0</v>
      </c>
      <c r="GL72" s="4">
        <f t="shared" si="73"/>
        <v>0</v>
      </c>
      <c r="GM72" s="4">
        <f t="shared" si="73"/>
        <v>0</v>
      </c>
      <c r="GN72" s="4">
        <f t="shared" si="73"/>
        <v>0</v>
      </c>
      <c r="GO72" s="4">
        <f t="shared" si="73"/>
        <v>0</v>
      </c>
      <c r="GP72" s="4">
        <f t="shared" si="73"/>
        <v>0</v>
      </c>
      <c r="GQ72" s="4">
        <f t="shared" si="73"/>
        <v>0</v>
      </c>
      <c r="GR72" s="4">
        <f t="shared" si="73"/>
        <v>0</v>
      </c>
      <c r="GS72" s="4">
        <f t="shared" si="73"/>
        <v>0</v>
      </c>
      <c r="GT72" s="4">
        <f t="shared" si="73"/>
        <v>0</v>
      </c>
      <c r="GU72" s="4">
        <f t="shared" si="73"/>
        <v>0</v>
      </c>
      <c r="GV72" s="4">
        <f t="shared" si="73"/>
        <v>0</v>
      </c>
      <c r="GW72" s="4">
        <f t="shared" si="73"/>
        <v>0</v>
      </c>
      <c r="GX72" s="4">
        <f t="shared" si="73"/>
        <v>0</v>
      </c>
    </row>
    <row r="74" spans="1:255" ht="12.75">
      <c r="A74" s="2">
        <v>17</v>
      </c>
      <c r="B74" s="2">
        <v>1</v>
      </c>
      <c r="C74" s="2">
        <f>ROW(SmtRes!A23)</f>
        <v>23</v>
      </c>
      <c r="D74" s="2">
        <f>ROW(EtalonRes!A23)</f>
        <v>23</v>
      </c>
      <c r="E74" s="2" t="s">
        <v>124</v>
      </c>
      <c r="F74" s="2" t="s">
        <v>125</v>
      </c>
      <c r="G74" s="2" t="s">
        <v>126</v>
      </c>
      <c r="H74" s="2" t="s">
        <v>25</v>
      </c>
      <c r="I74" s="2">
        <f>ROUND(173.3/100,7)</f>
        <v>1.733</v>
      </c>
      <c r="J74" s="2">
        <v>0</v>
      </c>
      <c r="K74" s="2">
        <f>ROUND(173.3/100,7)</f>
        <v>1.733</v>
      </c>
      <c r="L74" s="2"/>
      <c r="M74" s="2"/>
      <c r="N74" s="2"/>
      <c r="O74" s="2">
        <f aca="true" t="shared" si="74" ref="O74:O105">ROUND(CP74,2)</f>
        <v>137.88</v>
      </c>
      <c r="P74" s="2">
        <f aca="true" t="shared" si="75" ref="P74:P105">ROUND(CQ74*I74,2)</f>
        <v>0</v>
      </c>
      <c r="Q74" s="2">
        <f aca="true" t="shared" si="76" ref="Q74:Q105">ROUND(CR74*I74,2)</f>
        <v>0</v>
      </c>
      <c r="R74" s="2">
        <f aca="true" t="shared" si="77" ref="R74:R105">ROUND(CS74*I74,2)</f>
        <v>0</v>
      </c>
      <c r="S74" s="2">
        <f aca="true" t="shared" si="78" ref="S74:S105">ROUND(CT74*I74,2)</f>
        <v>137.88</v>
      </c>
      <c r="T74" s="2">
        <f aca="true" t="shared" si="79" ref="T74:T105">ROUND(CU74*I74,2)</f>
        <v>0</v>
      </c>
      <c r="U74" s="2">
        <f aca="true" t="shared" si="80" ref="U74:U105">CV74*I74</f>
        <v>17.6766</v>
      </c>
      <c r="V74" s="2">
        <f aca="true" t="shared" si="81" ref="V74:V105">CW74*I74</f>
        <v>0</v>
      </c>
      <c r="W74" s="2">
        <f aca="true" t="shared" si="82" ref="W74:W105">ROUND(CX74*I74,2)</f>
        <v>0</v>
      </c>
      <c r="X74" s="2">
        <f aca="true" t="shared" si="83" ref="X74:X105">ROUND(CY74,2)</f>
        <v>142.02</v>
      </c>
      <c r="Y74" s="2">
        <f aca="true" t="shared" si="84" ref="Y74:Y105">ROUND(CZ74,2)</f>
        <v>99.27</v>
      </c>
      <c r="Z74" s="2"/>
      <c r="AA74" s="2">
        <v>55463411</v>
      </c>
      <c r="AB74" s="2">
        <f aca="true" t="shared" si="85" ref="AB74:AB105">ROUND((AC74+AD74+AF74),2)</f>
        <v>79.56</v>
      </c>
      <c r="AC74" s="2">
        <f aca="true" t="shared" si="86" ref="AC74:AC99">ROUND((ES74),2)</f>
        <v>0</v>
      </c>
      <c r="AD74" s="2">
        <f>ROUND((((ET74)-(EU74))+AE74),2)</f>
        <v>0</v>
      </c>
      <c r="AE74" s="2">
        <f>ROUND((EU74),2)</f>
        <v>0</v>
      </c>
      <c r="AF74" s="2">
        <f>ROUND((EV74),2)</f>
        <v>79.56</v>
      </c>
      <c r="AG74" s="2">
        <f aca="true" t="shared" si="87" ref="AG74:AG105">ROUND((AP74),2)</f>
        <v>0</v>
      </c>
      <c r="AH74" s="2">
        <f>(EW74)</f>
        <v>10.2</v>
      </c>
      <c r="AI74" s="2">
        <f>(EX74)</f>
        <v>0</v>
      </c>
      <c r="AJ74" s="2">
        <f aca="true" t="shared" si="88" ref="AJ74:AJ105">(AS74)</f>
        <v>0</v>
      </c>
      <c r="AK74" s="2">
        <v>79.56</v>
      </c>
      <c r="AL74" s="2">
        <v>0</v>
      </c>
      <c r="AM74" s="2">
        <v>0</v>
      </c>
      <c r="AN74" s="2">
        <v>0</v>
      </c>
      <c r="AO74" s="2">
        <v>79.56</v>
      </c>
      <c r="AP74" s="2">
        <v>0</v>
      </c>
      <c r="AQ74" s="2">
        <v>10.2</v>
      </c>
      <c r="AR74" s="2">
        <v>0</v>
      </c>
      <c r="AS74" s="2">
        <v>0</v>
      </c>
      <c r="AT74" s="2">
        <v>103</v>
      </c>
      <c r="AU74" s="2">
        <v>72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127</v>
      </c>
      <c r="BK74" s="2"/>
      <c r="BL74" s="2"/>
      <c r="BM74" s="2">
        <v>47001</v>
      </c>
      <c r="BN74" s="2">
        <v>0</v>
      </c>
      <c r="BO74" s="2" t="s">
        <v>3</v>
      </c>
      <c r="BP74" s="2">
        <v>0</v>
      </c>
      <c r="BQ74" s="2">
        <v>2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103</v>
      </c>
      <c r="CA74" s="2">
        <v>72</v>
      </c>
      <c r="CB74" s="2" t="s">
        <v>3</v>
      </c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aca="true" t="shared" si="89" ref="CP74:CP105">(P74+Q74+S74)</f>
        <v>137.88</v>
      </c>
      <c r="CQ74" s="2">
        <f aca="true" t="shared" si="90" ref="CQ74:CQ105">AC74*BC74</f>
        <v>0</v>
      </c>
      <c r="CR74" s="2">
        <f>(((ET74)*BB74-(EU74))+AE74)</f>
        <v>0</v>
      </c>
      <c r="CS74" s="2">
        <f aca="true" t="shared" si="91" ref="CS74:CS105">AE74</f>
        <v>0</v>
      </c>
      <c r="CT74" s="2">
        <f aca="true" t="shared" si="92" ref="CT74:CT105">AF74</f>
        <v>79.56</v>
      </c>
      <c r="CU74" s="2">
        <f aca="true" t="shared" si="93" ref="CU74:CU105">AG74</f>
        <v>0</v>
      </c>
      <c r="CV74" s="2">
        <f aca="true" t="shared" si="94" ref="CV74:CV105">AH74</f>
        <v>10.2</v>
      </c>
      <c r="CW74" s="2">
        <f aca="true" t="shared" si="95" ref="CW74:CW105">AI74</f>
        <v>0</v>
      </c>
      <c r="CX74" s="2">
        <f aca="true" t="shared" si="96" ref="CX74:CX105">AJ74</f>
        <v>0</v>
      </c>
      <c r="CY74" s="2">
        <f aca="true" t="shared" si="97" ref="CY74:CY105">(((S74+R74)*AT74)/100)</f>
        <v>142.0164</v>
      </c>
      <c r="CZ74" s="2">
        <f aca="true" t="shared" si="98" ref="CZ74:CZ105">(((S74+R74)*AU74)/100)</f>
        <v>99.2736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1005</v>
      </c>
      <c r="DV74" s="2" t="s">
        <v>25</v>
      </c>
      <c r="DW74" s="2" t="s">
        <v>25</v>
      </c>
      <c r="DX74" s="2">
        <v>100</v>
      </c>
      <c r="DY74" s="2"/>
      <c r="DZ74" s="2" t="s">
        <v>3</v>
      </c>
      <c r="EA74" s="2" t="s">
        <v>3</v>
      </c>
      <c r="EB74" s="2" t="s">
        <v>3</v>
      </c>
      <c r="EC74" s="2" t="s">
        <v>3</v>
      </c>
      <c r="ED74" s="2"/>
      <c r="EE74" s="2">
        <v>55471766</v>
      </c>
      <c r="EF74" s="2">
        <v>2</v>
      </c>
      <c r="EG74" s="2" t="s">
        <v>60</v>
      </c>
      <c r="EH74" s="2">
        <v>41</v>
      </c>
      <c r="EI74" s="2" t="s">
        <v>128</v>
      </c>
      <c r="EJ74" s="2">
        <v>1</v>
      </c>
      <c r="EK74" s="2">
        <v>47001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79.56</v>
      </c>
      <c r="ES74" s="2">
        <v>0</v>
      </c>
      <c r="ET74" s="2">
        <v>0</v>
      </c>
      <c r="EU74" s="2">
        <v>0</v>
      </c>
      <c r="EV74" s="2">
        <v>79.56</v>
      </c>
      <c r="EW74" s="2">
        <v>10.2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aca="true" t="shared" si="99" ref="FR74:FR105">ROUND(IF(AND(BH74=3,BI74=3),P74,0),2)</f>
        <v>0</v>
      </c>
      <c r="FS74" s="2">
        <v>0</v>
      </c>
      <c r="FT74" s="2"/>
      <c r="FU74" s="2"/>
      <c r="FV74" s="2"/>
      <c r="FW74" s="2"/>
      <c r="FX74" s="2">
        <v>103</v>
      </c>
      <c r="FY74" s="2">
        <v>72</v>
      </c>
      <c r="FZ74" s="2"/>
      <c r="GA74" s="2" t="s">
        <v>3</v>
      </c>
      <c r="GB74" s="2"/>
      <c r="GC74" s="2"/>
      <c r="GD74" s="2">
        <v>1</v>
      </c>
      <c r="GE74" s="2"/>
      <c r="GF74" s="2">
        <v>-1457977697</v>
      </c>
      <c r="GG74" s="2">
        <v>2</v>
      </c>
      <c r="GH74" s="2">
        <v>1</v>
      </c>
      <c r="GI74" s="2">
        <v>-2</v>
      </c>
      <c r="GJ74" s="2">
        <v>0</v>
      </c>
      <c r="GK74" s="2">
        <v>0</v>
      </c>
      <c r="GL74" s="2">
        <f aca="true" t="shared" si="100" ref="GL74:GL105">ROUND(IF(AND(BH74=3,BI74=3,FS74&lt;&gt;0),P74,0),2)</f>
        <v>0</v>
      </c>
      <c r="GM74" s="2">
        <f aca="true" t="shared" si="101" ref="GM74:GM105">ROUND(O74+X74+Y74,2)+GX74</f>
        <v>379.17</v>
      </c>
      <c r="GN74" s="2">
        <f aca="true" t="shared" si="102" ref="GN74:GN105">IF(OR(BI74=0,BI74=1),ROUND(O74+X74+Y74,2),0)</f>
        <v>379.17</v>
      </c>
      <c r="GO74" s="2">
        <f aca="true" t="shared" si="103" ref="GO74:GO105">IF(BI74=2,ROUND(O74+X74+Y74,2),0)</f>
        <v>0</v>
      </c>
      <c r="GP74" s="2">
        <f aca="true" t="shared" si="104" ref="GP74:GP105">IF(BI74=4,ROUND(O74+X74+Y74,2)+GX74,0)</f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aca="true" t="shared" si="105" ref="GV74:GV105">ROUND((GT74),2)</f>
        <v>0</v>
      </c>
      <c r="GW74" s="2">
        <v>1</v>
      </c>
      <c r="GX74" s="2">
        <f aca="true" t="shared" si="106" ref="GX74:GX105">ROUND(HC74*I74,2)</f>
        <v>0</v>
      </c>
      <c r="GY74" s="2"/>
      <c r="GZ74" s="2"/>
      <c r="HA74" s="2">
        <v>0</v>
      </c>
      <c r="HB74" s="2">
        <v>0</v>
      </c>
      <c r="HC74" s="2">
        <f aca="true" t="shared" si="107" ref="HC74:HC105">GV74*GW74</f>
        <v>0</v>
      </c>
      <c r="HD74" s="2"/>
      <c r="HE74" s="2" t="s">
        <v>3</v>
      </c>
      <c r="HF74" s="2" t="s">
        <v>3</v>
      </c>
      <c r="HG74" s="2"/>
      <c r="HH74" s="2"/>
      <c r="HI74" s="2">
        <f aca="true" t="shared" si="108" ref="HI74:HI105">ROUND(R74*BS74,2)</f>
        <v>0</v>
      </c>
      <c r="HJ74" s="2">
        <f aca="true" t="shared" si="109" ref="HJ74:HJ105">ROUND(S74*BA74,2)</f>
        <v>137.88</v>
      </c>
      <c r="HK74" s="2">
        <f aca="true" t="shared" si="110" ref="HK74:HK105">ROUND((((HJ74+HI74)*AT74)/100),2)</f>
        <v>142.02</v>
      </c>
      <c r="HL74" s="2">
        <f aca="true" t="shared" si="111" ref="HL74:HL105">ROUND((((HJ74+HI74)*AU74)/100),2)</f>
        <v>99.27</v>
      </c>
      <c r="HM74" s="2" t="s">
        <v>3</v>
      </c>
      <c r="HN74" s="2" t="s">
        <v>130</v>
      </c>
      <c r="HO74" s="2" t="s">
        <v>131</v>
      </c>
      <c r="HP74" s="2" t="s">
        <v>128</v>
      </c>
      <c r="HQ74" s="2" t="s">
        <v>128</v>
      </c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45" ht="12.75">
      <c r="A75">
        <v>17</v>
      </c>
      <c r="B75">
        <v>1</v>
      </c>
      <c r="C75">
        <f>ROW(SmtRes!A24)</f>
        <v>24</v>
      </c>
      <c r="D75">
        <f>ROW(EtalonRes!A24)</f>
        <v>24</v>
      </c>
      <c r="E75" t="s">
        <v>124</v>
      </c>
      <c r="F75" t="s">
        <v>125</v>
      </c>
      <c r="G75" t="s">
        <v>126</v>
      </c>
      <c r="H75" t="s">
        <v>25</v>
      </c>
      <c r="I75">
        <f>ROUND(173.3/100,7)</f>
        <v>1.733</v>
      </c>
      <c r="J75">
        <v>0</v>
      </c>
      <c r="K75">
        <f>ROUND(173.3/100,7)</f>
        <v>1.733</v>
      </c>
      <c r="O75">
        <f t="shared" si="74"/>
        <v>137.88</v>
      </c>
      <c r="P75">
        <f t="shared" si="75"/>
        <v>0</v>
      </c>
      <c r="Q75">
        <f t="shared" si="76"/>
        <v>0</v>
      </c>
      <c r="R75">
        <f t="shared" si="77"/>
        <v>0</v>
      </c>
      <c r="S75">
        <f t="shared" si="78"/>
        <v>137.88</v>
      </c>
      <c r="T75">
        <f t="shared" si="79"/>
        <v>0</v>
      </c>
      <c r="U75">
        <f t="shared" si="80"/>
        <v>17.6766</v>
      </c>
      <c r="V75">
        <f t="shared" si="81"/>
        <v>0</v>
      </c>
      <c r="W75">
        <f t="shared" si="82"/>
        <v>0</v>
      </c>
      <c r="X75">
        <f t="shared" si="83"/>
        <v>142.02</v>
      </c>
      <c r="Y75">
        <f t="shared" si="84"/>
        <v>99.27</v>
      </c>
      <c r="AA75">
        <v>55463412</v>
      </c>
      <c r="AB75">
        <f t="shared" si="85"/>
        <v>79.56</v>
      </c>
      <c r="AC75">
        <f t="shared" si="86"/>
        <v>0</v>
      </c>
      <c r="AD75">
        <f>ROUND((((ET75)-(EU75))+AE75),2)</f>
        <v>0</v>
      </c>
      <c r="AE75">
        <f>ROUND((EU75),2)</f>
        <v>0</v>
      </c>
      <c r="AF75">
        <f>ROUND((EV75),2)</f>
        <v>79.56</v>
      </c>
      <c r="AG75">
        <f t="shared" si="87"/>
        <v>0</v>
      </c>
      <c r="AH75">
        <f>(EW75)</f>
        <v>10.2</v>
      </c>
      <c r="AI75">
        <f>(EX75)</f>
        <v>0</v>
      </c>
      <c r="AJ75">
        <f t="shared" si="88"/>
        <v>0</v>
      </c>
      <c r="AK75">
        <v>79.56</v>
      </c>
      <c r="AL75">
        <v>0</v>
      </c>
      <c r="AM75">
        <v>0</v>
      </c>
      <c r="AN75">
        <v>0</v>
      </c>
      <c r="AO75">
        <v>79.56</v>
      </c>
      <c r="AP75">
        <v>0</v>
      </c>
      <c r="AQ75">
        <v>10.2</v>
      </c>
      <c r="AR75">
        <v>0</v>
      </c>
      <c r="AS75">
        <v>0</v>
      </c>
      <c r="AT75">
        <v>103</v>
      </c>
      <c r="AU75">
        <v>72</v>
      </c>
      <c r="AV75">
        <v>1</v>
      </c>
      <c r="AW75">
        <v>1</v>
      </c>
      <c r="AZ75">
        <v>1</v>
      </c>
      <c r="BA75">
        <v>36.47</v>
      </c>
      <c r="BB75">
        <v>1</v>
      </c>
      <c r="BC75">
        <v>1</v>
      </c>
      <c r="BH75">
        <v>0</v>
      </c>
      <c r="BI75">
        <v>1</v>
      </c>
      <c r="BJ75" t="s">
        <v>127</v>
      </c>
      <c r="BM75">
        <v>47001</v>
      </c>
      <c r="BN75">
        <v>0</v>
      </c>
      <c r="BO75" t="s">
        <v>32</v>
      </c>
      <c r="BP75">
        <v>1</v>
      </c>
      <c r="BQ75">
        <v>2</v>
      </c>
      <c r="BR75">
        <v>0</v>
      </c>
      <c r="BS75">
        <v>36.47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103</v>
      </c>
      <c r="CA75">
        <v>72</v>
      </c>
      <c r="CE75">
        <v>0</v>
      </c>
      <c r="CF75">
        <v>0</v>
      </c>
      <c r="CG75">
        <v>0</v>
      </c>
      <c r="CM75">
        <v>0</v>
      </c>
      <c r="CO75">
        <v>0</v>
      </c>
      <c r="CP75">
        <f t="shared" si="89"/>
        <v>137.88</v>
      </c>
      <c r="CQ75">
        <f t="shared" si="90"/>
        <v>0</v>
      </c>
      <c r="CR75">
        <f>(((ET75)*BB75-(EU75))+AE75)</f>
        <v>0</v>
      </c>
      <c r="CS75">
        <f t="shared" si="91"/>
        <v>0</v>
      </c>
      <c r="CT75">
        <f t="shared" si="92"/>
        <v>79.56</v>
      </c>
      <c r="CU75">
        <f t="shared" si="93"/>
        <v>0</v>
      </c>
      <c r="CV75">
        <f t="shared" si="94"/>
        <v>10.2</v>
      </c>
      <c r="CW75">
        <f t="shared" si="95"/>
        <v>0</v>
      </c>
      <c r="CX75">
        <f t="shared" si="96"/>
        <v>0</v>
      </c>
      <c r="CY75">
        <f t="shared" si="97"/>
        <v>142.0164</v>
      </c>
      <c r="CZ75">
        <f t="shared" si="98"/>
        <v>99.2736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25</v>
      </c>
      <c r="DW75" t="s">
        <v>25</v>
      </c>
      <c r="DX75">
        <v>100</v>
      </c>
      <c r="EE75">
        <v>55471766</v>
      </c>
      <c r="EF75">
        <v>2</v>
      </c>
      <c r="EG75" t="s">
        <v>60</v>
      </c>
      <c r="EH75">
        <v>41</v>
      </c>
      <c r="EI75" t="s">
        <v>128</v>
      </c>
      <c r="EJ75">
        <v>1</v>
      </c>
      <c r="EK75">
        <v>47001</v>
      </c>
      <c r="EL75" t="s">
        <v>128</v>
      </c>
      <c r="EM75" t="s">
        <v>129</v>
      </c>
      <c r="EQ75">
        <v>0</v>
      </c>
      <c r="ER75">
        <v>79.56</v>
      </c>
      <c r="ES75">
        <v>0</v>
      </c>
      <c r="ET75">
        <v>0</v>
      </c>
      <c r="EU75">
        <v>0</v>
      </c>
      <c r="EV75">
        <v>79.56</v>
      </c>
      <c r="EW75">
        <v>10.2</v>
      </c>
      <c r="EX75">
        <v>0</v>
      </c>
      <c r="EY75">
        <v>0</v>
      </c>
      <c r="FQ75">
        <v>0</v>
      </c>
      <c r="FR75">
        <f t="shared" si="99"/>
        <v>0</v>
      </c>
      <c r="FS75">
        <v>0</v>
      </c>
      <c r="FX75">
        <v>103</v>
      </c>
      <c r="FY75">
        <v>72</v>
      </c>
      <c r="GD75">
        <v>1</v>
      </c>
      <c r="GF75">
        <v>-1457977697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100"/>
        <v>0</v>
      </c>
      <c r="GM75">
        <f t="shared" si="101"/>
        <v>379.17</v>
      </c>
      <c r="GN75">
        <f t="shared" si="102"/>
        <v>379.17</v>
      </c>
      <c r="GO75">
        <f t="shared" si="103"/>
        <v>0</v>
      </c>
      <c r="GP75">
        <f t="shared" si="104"/>
        <v>0</v>
      </c>
      <c r="GR75">
        <v>0</v>
      </c>
      <c r="GS75">
        <v>3</v>
      </c>
      <c r="GT75">
        <v>0</v>
      </c>
      <c r="GV75">
        <f t="shared" si="105"/>
        <v>0</v>
      </c>
      <c r="GW75">
        <v>1</v>
      </c>
      <c r="GX75">
        <f t="shared" si="106"/>
        <v>0</v>
      </c>
      <c r="HA75">
        <v>0</v>
      </c>
      <c r="HB75">
        <v>0</v>
      </c>
      <c r="HC75">
        <f t="shared" si="107"/>
        <v>0</v>
      </c>
      <c r="HI75">
        <f t="shared" si="108"/>
        <v>0</v>
      </c>
      <c r="HJ75">
        <f t="shared" si="109"/>
        <v>5028.48</v>
      </c>
      <c r="HK75">
        <f t="shared" si="110"/>
        <v>5179.33</v>
      </c>
      <c r="HL75">
        <f t="shared" si="111"/>
        <v>3620.51</v>
      </c>
      <c r="HN75" t="s">
        <v>130</v>
      </c>
      <c r="HO75" t="s">
        <v>131</v>
      </c>
      <c r="HP75" t="s">
        <v>128</v>
      </c>
      <c r="HQ75" t="s">
        <v>128</v>
      </c>
      <c r="IK75">
        <v>0</v>
      </c>
    </row>
    <row r="76" spans="1:255" ht="12.75">
      <c r="A76" s="2">
        <v>17</v>
      </c>
      <c r="B76" s="2">
        <v>1</v>
      </c>
      <c r="C76" s="2">
        <f>ROW(SmtRes!A28)</f>
        <v>28</v>
      </c>
      <c r="D76" s="2">
        <f>ROW(EtalonRes!A28)</f>
        <v>28</v>
      </c>
      <c r="E76" s="2" t="s">
        <v>132</v>
      </c>
      <c r="F76" s="2" t="s">
        <v>133</v>
      </c>
      <c r="G76" s="2" t="s">
        <v>134</v>
      </c>
      <c r="H76" s="2" t="s">
        <v>48</v>
      </c>
      <c r="I76" s="2">
        <f>ROUND(16/100,7)</f>
        <v>0.16</v>
      </c>
      <c r="J76" s="2">
        <v>0</v>
      </c>
      <c r="K76" s="2">
        <f>ROUND(16/100,7)</f>
        <v>0.16</v>
      </c>
      <c r="L76" s="2"/>
      <c r="M76" s="2"/>
      <c r="N76" s="2"/>
      <c r="O76" s="2">
        <f t="shared" si="74"/>
        <v>67.99</v>
      </c>
      <c r="P76" s="2">
        <f t="shared" si="75"/>
        <v>0</v>
      </c>
      <c r="Q76" s="2">
        <f t="shared" si="76"/>
        <v>48.32</v>
      </c>
      <c r="R76" s="2">
        <f t="shared" si="77"/>
        <v>5.27</v>
      </c>
      <c r="S76" s="2">
        <f t="shared" si="78"/>
        <v>19.67</v>
      </c>
      <c r="T76" s="2">
        <f t="shared" si="79"/>
        <v>0</v>
      </c>
      <c r="U76" s="2">
        <f t="shared" si="80"/>
        <v>2.3055199999999996</v>
      </c>
      <c r="V76" s="2">
        <f t="shared" si="81"/>
        <v>0.524</v>
      </c>
      <c r="W76" s="2">
        <f t="shared" si="82"/>
        <v>0</v>
      </c>
      <c r="X76" s="2">
        <f t="shared" si="83"/>
        <v>20.65</v>
      </c>
      <c r="Y76" s="2">
        <f t="shared" si="84"/>
        <v>9.75</v>
      </c>
      <c r="Z76" s="2"/>
      <c r="AA76" s="2">
        <v>55463411</v>
      </c>
      <c r="AB76" s="2">
        <f t="shared" si="85"/>
        <v>424.89</v>
      </c>
      <c r="AC76" s="2">
        <f t="shared" si="86"/>
        <v>0</v>
      </c>
      <c r="AD76" s="2">
        <f>ROUND(((((ET76*ROUND(1.25,7)))-((EU76*ROUND(1.25,7))))+AE76),2)</f>
        <v>301.98</v>
      </c>
      <c r="AE76" s="2">
        <f>ROUND(((EU76*ROUND(1.25,7))),2)</f>
        <v>32.95</v>
      </c>
      <c r="AF76" s="2">
        <f>ROUND(((EV76*ROUND(1.15,7))),2)</f>
        <v>122.91</v>
      </c>
      <c r="AG76" s="2">
        <f t="shared" si="87"/>
        <v>0</v>
      </c>
      <c r="AH76" s="2">
        <f>((EW76*ROUND(1.15,7)))</f>
        <v>14.409499999999998</v>
      </c>
      <c r="AI76" s="2">
        <f>((EX76*ROUND(1.25,7)))</f>
        <v>3.2750000000000004</v>
      </c>
      <c r="AJ76" s="2">
        <f t="shared" si="88"/>
        <v>0</v>
      </c>
      <c r="AK76" s="2">
        <v>348.46</v>
      </c>
      <c r="AL76" s="2">
        <v>0</v>
      </c>
      <c r="AM76" s="2">
        <v>241.58</v>
      </c>
      <c r="AN76" s="2">
        <v>26.36</v>
      </c>
      <c r="AO76" s="2">
        <v>106.88</v>
      </c>
      <c r="AP76" s="2">
        <v>0</v>
      </c>
      <c r="AQ76" s="2">
        <v>12.53</v>
      </c>
      <c r="AR76" s="2">
        <v>2.62</v>
      </c>
      <c r="AS76" s="2">
        <v>0</v>
      </c>
      <c r="AT76" s="2">
        <v>82.8</v>
      </c>
      <c r="AU76" s="2">
        <v>39.1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135</v>
      </c>
      <c r="BK76" s="2"/>
      <c r="BL76" s="2"/>
      <c r="BM76" s="2">
        <v>1001</v>
      </c>
      <c r="BN76" s="2">
        <v>0</v>
      </c>
      <c r="BO76" s="2" t="s">
        <v>3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92</v>
      </c>
      <c r="CA76" s="2">
        <v>46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480</v>
      </c>
      <c r="CO76" s="2">
        <v>0</v>
      </c>
      <c r="CP76" s="2">
        <f t="shared" si="89"/>
        <v>67.99000000000001</v>
      </c>
      <c r="CQ76" s="2">
        <f t="shared" si="90"/>
        <v>0</v>
      </c>
      <c r="CR76" s="2">
        <f>((((ET76*ROUND(1.25,7)))*BB76-((EU76*ROUND(1.25,7))))+AE76)</f>
        <v>301.975</v>
      </c>
      <c r="CS76" s="2">
        <f t="shared" si="91"/>
        <v>32.95</v>
      </c>
      <c r="CT76" s="2">
        <f t="shared" si="92"/>
        <v>122.91</v>
      </c>
      <c r="CU76" s="2">
        <f t="shared" si="93"/>
        <v>0</v>
      </c>
      <c r="CV76" s="2">
        <f t="shared" si="94"/>
        <v>14.409499999999998</v>
      </c>
      <c r="CW76" s="2">
        <f t="shared" si="95"/>
        <v>3.2750000000000004</v>
      </c>
      <c r="CX76" s="2">
        <f t="shared" si="96"/>
        <v>0</v>
      </c>
      <c r="CY76" s="2">
        <f t="shared" si="97"/>
        <v>20.65032</v>
      </c>
      <c r="CZ76" s="2">
        <f t="shared" si="98"/>
        <v>9.75154</v>
      </c>
      <c r="DA76" s="2"/>
      <c r="DB76" s="2"/>
      <c r="DC76" s="2" t="s">
        <v>3</v>
      </c>
      <c r="DD76" s="2" t="s">
        <v>3</v>
      </c>
      <c r="DE76" s="2" t="s">
        <v>56</v>
      </c>
      <c r="DF76" s="2" t="s">
        <v>56</v>
      </c>
      <c r="DG76" s="2" t="s">
        <v>57</v>
      </c>
      <c r="DH76" s="2" t="s">
        <v>3</v>
      </c>
      <c r="DI76" s="2" t="s">
        <v>57</v>
      </c>
      <c r="DJ76" s="2" t="s">
        <v>56</v>
      </c>
      <c r="DK76" s="2" t="s">
        <v>3</v>
      </c>
      <c r="DL76" s="2" t="s">
        <v>58</v>
      </c>
      <c r="DM76" s="2" t="s">
        <v>59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48</v>
      </c>
      <c r="DW76" s="2" t="s">
        <v>48</v>
      </c>
      <c r="DX76" s="2">
        <v>100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55471618</v>
      </c>
      <c r="EF76" s="2">
        <v>2</v>
      </c>
      <c r="EG76" s="2" t="s">
        <v>60</v>
      </c>
      <c r="EH76" s="2">
        <v>1</v>
      </c>
      <c r="EI76" s="2" t="s">
        <v>136</v>
      </c>
      <c r="EJ76" s="2">
        <v>1</v>
      </c>
      <c r="EK76" s="2">
        <v>1001</v>
      </c>
      <c r="EL76" s="2" t="s">
        <v>137</v>
      </c>
      <c r="EM76" s="2" t="s">
        <v>138</v>
      </c>
      <c r="EN76" s="2"/>
      <c r="EO76" s="2" t="s">
        <v>139</v>
      </c>
      <c r="EP76" s="2"/>
      <c r="EQ76" s="2">
        <v>0</v>
      </c>
      <c r="ER76" s="2">
        <v>348.46</v>
      </c>
      <c r="ES76" s="2">
        <v>0</v>
      </c>
      <c r="ET76" s="2">
        <v>241.58</v>
      </c>
      <c r="EU76" s="2">
        <v>26.36</v>
      </c>
      <c r="EV76" s="2">
        <v>106.88</v>
      </c>
      <c r="EW76" s="2">
        <v>12.53</v>
      </c>
      <c r="EX76" s="2">
        <v>2.62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99"/>
        <v>0</v>
      </c>
      <c r="FS76" s="2">
        <v>0</v>
      </c>
      <c r="FT76" s="2"/>
      <c r="FU76" s="2"/>
      <c r="FV76" s="2"/>
      <c r="FW76" s="2"/>
      <c r="FX76" s="2">
        <v>82.8</v>
      </c>
      <c r="FY76" s="2">
        <v>39.1</v>
      </c>
      <c r="FZ76" s="2"/>
      <c r="GA76" s="2" t="s">
        <v>3</v>
      </c>
      <c r="GB76" s="2"/>
      <c r="GC76" s="2"/>
      <c r="GD76" s="2">
        <v>1</v>
      </c>
      <c r="GE76" s="2"/>
      <c r="GF76" s="2">
        <v>-480167143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t="shared" si="100"/>
        <v>0</v>
      </c>
      <c r="GM76" s="2">
        <f t="shared" si="101"/>
        <v>98.39</v>
      </c>
      <c r="GN76" s="2">
        <f t="shared" si="102"/>
        <v>98.39</v>
      </c>
      <c r="GO76" s="2">
        <f t="shared" si="103"/>
        <v>0</v>
      </c>
      <c r="GP76" s="2">
        <f t="shared" si="104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105"/>
        <v>0</v>
      </c>
      <c r="GW76" s="2">
        <v>1</v>
      </c>
      <c r="GX76" s="2">
        <f t="shared" si="106"/>
        <v>0</v>
      </c>
      <c r="GY76" s="2"/>
      <c r="GZ76" s="2"/>
      <c r="HA76" s="2">
        <v>0</v>
      </c>
      <c r="HB76" s="2">
        <v>0</v>
      </c>
      <c r="HC76" s="2">
        <f t="shared" si="107"/>
        <v>0</v>
      </c>
      <c r="HD76" s="2"/>
      <c r="HE76" s="2" t="s">
        <v>3</v>
      </c>
      <c r="HF76" s="2" t="s">
        <v>3</v>
      </c>
      <c r="HG76" s="2"/>
      <c r="HH76" s="2"/>
      <c r="HI76" s="2">
        <f t="shared" si="108"/>
        <v>5.27</v>
      </c>
      <c r="HJ76" s="2">
        <f t="shared" si="109"/>
        <v>19.67</v>
      </c>
      <c r="HK76" s="2">
        <f t="shared" si="110"/>
        <v>20.65</v>
      </c>
      <c r="HL76" s="2">
        <f t="shared" si="111"/>
        <v>9.75</v>
      </c>
      <c r="HM76" s="2" t="s">
        <v>3</v>
      </c>
      <c r="HN76" s="2" t="s">
        <v>140</v>
      </c>
      <c r="HO76" s="2" t="s">
        <v>141</v>
      </c>
      <c r="HP76" s="2" t="s">
        <v>137</v>
      </c>
      <c r="HQ76" s="2" t="s">
        <v>137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17</v>
      </c>
      <c r="B77">
        <v>1</v>
      </c>
      <c r="C77">
        <f>ROW(SmtRes!A32)</f>
        <v>32</v>
      </c>
      <c r="D77">
        <f>ROW(EtalonRes!A32)</f>
        <v>32</v>
      </c>
      <c r="E77" t="s">
        <v>132</v>
      </c>
      <c r="F77" t="s">
        <v>133</v>
      </c>
      <c r="G77" t="s">
        <v>134</v>
      </c>
      <c r="H77" t="s">
        <v>48</v>
      </c>
      <c r="I77">
        <f>ROUND(16/100,7)</f>
        <v>0.16</v>
      </c>
      <c r="J77">
        <v>0</v>
      </c>
      <c r="K77">
        <f>ROUND(16/100,7)</f>
        <v>0.16</v>
      </c>
      <c r="O77">
        <f t="shared" si="74"/>
        <v>67.99</v>
      </c>
      <c r="P77">
        <f t="shared" si="75"/>
        <v>0</v>
      </c>
      <c r="Q77">
        <f t="shared" si="76"/>
        <v>48.32</v>
      </c>
      <c r="R77">
        <f t="shared" si="77"/>
        <v>5.27</v>
      </c>
      <c r="S77">
        <f t="shared" si="78"/>
        <v>19.67</v>
      </c>
      <c r="T77">
        <f t="shared" si="79"/>
        <v>0</v>
      </c>
      <c r="U77">
        <f t="shared" si="80"/>
        <v>2.3055199999999996</v>
      </c>
      <c r="V77">
        <f t="shared" si="81"/>
        <v>0.524</v>
      </c>
      <c r="W77">
        <f t="shared" si="82"/>
        <v>0</v>
      </c>
      <c r="X77">
        <f t="shared" si="83"/>
        <v>20.65</v>
      </c>
      <c r="Y77">
        <f t="shared" si="84"/>
        <v>9.75</v>
      </c>
      <c r="AA77">
        <v>55463412</v>
      </c>
      <c r="AB77">
        <f t="shared" si="85"/>
        <v>424.89</v>
      </c>
      <c r="AC77">
        <f t="shared" si="86"/>
        <v>0</v>
      </c>
      <c r="AD77">
        <f>ROUND(((((ET77*ROUND(1.25,7)))-((EU77*ROUND(1.25,7))))+AE77),2)</f>
        <v>301.98</v>
      </c>
      <c r="AE77">
        <f>ROUND(((EU77*ROUND(1.25,7))),2)</f>
        <v>32.95</v>
      </c>
      <c r="AF77">
        <f>ROUND(((EV77*ROUND(1.15,7))),2)</f>
        <v>122.91</v>
      </c>
      <c r="AG77">
        <f t="shared" si="87"/>
        <v>0</v>
      </c>
      <c r="AH77">
        <f>((EW77*ROUND(1.15,7)))</f>
        <v>14.409499999999998</v>
      </c>
      <c r="AI77">
        <f>((EX77*ROUND(1.25,7)))</f>
        <v>3.2750000000000004</v>
      </c>
      <c r="AJ77">
        <f t="shared" si="88"/>
        <v>0</v>
      </c>
      <c r="AK77">
        <v>348.46</v>
      </c>
      <c r="AL77">
        <v>0</v>
      </c>
      <c r="AM77">
        <v>241.58</v>
      </c>
      <c r="AN77">
        <v>26.36</v>
      </c>
      <c r="AO77">
        <v>106.88</v>
      </c>
      <c r="AP77">
        <v>0</v>
      </c>
      <c r="AQ77">
        <v>12.53</v>
      </c>
      <c r="AR77">
        <v>2.62</v>
      </c>
      <c r="AS77">
        <v>0</v>
      </c>
      <c r="AT77">
        <v>82.8</v>
      </c>
      <c r="AU77">
        <v>39.1</v>
      </c>
      <c r="AV77">
        <v>1</v>
      </c>
      <c r="AW77">
        <v>1</v>
      </c>
      <c r="AZ77">
        <v>1</v>
      </c>
      <c r="BA77">
        <v>36.47</v>
      </c>
      <c r="BB77">
        <v>1</v>
      </c>
      <c r="BC77">
        <v>1</v>
      </c>
      <c r="BH77">
        <v>0</v>
      </c>
      <c r="BI77">
        <v>1</v>
      </c>
      <c r="BJ77" t="s">
        <v>135</v>
      </c>
      <c r="BM77">
        <v>1001</v>
      </c>
      <c r="BN77">
        <v>0</v>
      </c>
      <c r="BO77" t="s">
        <v>32</v>
      </c>
      <c r="BP77">
        <v>1</v>
      </c>
      <c r="BQ77">
        <v>2</v>
      </c>
      <c r="BR77">
        <v>0</v>
      </c>
      <c r="BS77">
        <v>36.47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92</v>
      </c>
      <c r="CA77">
        <v>46</v>
      </c>
      <c r="CE77">
        <v>0</v>
      </c>
      <c r="CF77">
        <v>0</v>
      </c>
      <c r="CG77">
        <v>0</v>
      </c>
      <c r="CM77">
        <v>0</v>
      </c>
      <c r="CN77" t="s">
        <v>480</v>
      </c>
      <c r="CO77">
        <v>0</v>
      </c>
      <c r="CP77">
        <f t="shared" si="89"/>
        <v>67.99000000000001</v>
      </c>
      <c r="CQ77">
        <f t="shared" si="90"/>
        <v>0</v>
      </c>
      <c r="CR77">
        <f>((((ET77*ROUND(1.25,7)))*BB77-((EU77*ROUND(1.25,7))))+AE77)</f>
        <v>301.975</v>
      </c>
      <c r="CS77">
        <f t="shared" si="91"/>
        <v>32.95</v>
      </c>
      <c r="CT77">
        <f t="shared" si="92"/>
        <v>122.91</v>
      </c>
      <c r="CU77">
        <f t="shared" si="93"/>
        <v>0</v>
      </c>
      <c r="CV77">
        <f t="shared" si="94"/>
        <v>14.409499999999998</v>
      </c>
      <c r="CW77">
        <f t="shared" si="95"/>
        <v>3.2750000000000004</v>
      </c>
      <c r="CX77">
        <f t="shared" si="96"/>
        <v>0</v>
      </c>
      <c r="CY77">
        <f t="shared" si="97"/>
        <v>20.65032</v>
      </c>
      <c r="CZ77">
        <f t="shared" si="98"/>
        <v>9.75154</v>
      </c>
      <c r="DE77" t="s">
        <v>56</v>
      </c>
      <c r="DF77" t="s">
        <v>56</v>
      </c>
      <c r="DG77" t="s">
        <v>57</v>
      </c>
      <c r="DI77" t="s">
        <v>57</v>
      </c>
      <c r="DJ77" t="s">
        <v>56</v>
      </c>
      <c r="DL77" t="s">
        <v>58</v>
      </c>
      <c r="DM77" t="s">
        <v>59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48</v>
      </c>
      <c r="DW77" t="s">
        <v>48</v>
      </c>
      <c r="DX77">
        <v>100</v>
      </c>
      <c r="EE77">
        <v>55471618</v>
      </c>
      <c r="EF77">
        <v>2</v>
      </c>
      <c r="EG77" t="s">
        <v>60</v>
      </c>
      <c r="EH77">
        <v>1</v>
      </c>
      <c r="EI77" t="s">
        <v>136</v>
      </c>
      <c r="EJ77">
        <v>1</v>
      </c>
      <c r="EK77">
        <v>1001</v>
      </c>
      <c r="EL77" t="s">
        <v>137</v>
      </c>
      <c r="EM77" t="s">
        <v>138</v>
      </c>
      <c r="EO77" t="s">
        <v>139</v>
      </c>
      <c r="EQ77">
        <v>0</v>
      </c>
      <c r="ER77">
        <v>348.46</v>
      </c>
      <c r="ES77">
        <v>0</v>
      </c>
      <c r="ET77">
        <v>241.58</v>
      </c>
      <c r="EU77">
        <v>26.36</v>
      </c>
      <c r="EV77">
        <v>106.88</v>
      </c>
      <c r="EW77">
        <v>12.53</v>
      </c>
      <c r="EX77">
        <v>2.62</v>
      </c>
      <c r="EY77">
        <v>0</v>
      </c>
      <c r="FQ77">
        <v>0</v>
      </c>
      <c r="FR77">
        <f t="shared" si="99"/>
        <v>0</v>
      </c>
      <c r="FS77">
        <v>0</v>
      </c>
      <c r="FX77">
        <v>82.8</v>
      </c>
      <c r="FY77">
        <v>39.1</v>
      </c>
      <c r="GD77">
        <v>1</v>
      </c>
      <c r="GF77">
        <v>-480167143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100"/>
        <v>0</v>
      </c>
      <c r="GM77">
        <f t="shared" si="101"/>
        <v>98.39</v>
      </c>
      <c r="GN77">
        <f t="shared" si="102"/>
        <v>98.39</v>
      </c>
      <c r="GO77">
        <f t="shared" si="103"/>
        <v>0</v>
      </c>
      <c r="GP77">
        <f t="shared" si="104"/>
        <v>0</v>
      </c>
      <c r="GR77">
        <v>0</v>
      </c>
      <c r="GS77">
        <v>3</v>
      </c>
      <c r="GT77">
        <v>0</v>
      </c>
      <c r="GV77">
        <f t="shared" si="105"/>
        <v>0</v>
      </c>
      <c r="GW77">
        <v>1</v>
      </c>
      <c r="GX77">
        <f t="shared" si="106"/>
        <v>0</v>
      </c>
      <c r="HA77">
        <v>0</v>
      </c>
      <c r="HB77">
        <v>0</v>
      </c>
      <c r="HC77">
        <f t="shared" si="107"/>
        <v>0</v>
      </c>
      <c r="HI77">
        <f t="shared" si="108"/>
        <v>192.2</v>
      </c>
      <c r="HJ77">
        <f t="shared" si="109"/>
        <v>717.36</v>
      </c>
      <c r="HK77">
        <f t="shared" si="110"/>
        <v>753.12</v>
      </c>
      <c r="HL77">
        <f t="shared" si="111"/>
        <v>355.64</v>
      </c>
      <c r="HN77" t="s">
        <v>140</v>
      </c>
      <c r="HO77" t="s">
        <v>141</v>
      </c>
      <c r="HP77" t="s">
        <v>137</v>
      </c>
      <c r="HQ77" t="s">
        <v>137</v>
      </c>
      <c r="IK77">
        <v>0</v>
      </c>
    </row>
    <row r="78" spans="1:255" ht="12.75">
      <c r="A78" s="2">
        <v>17</v>
      </c>
      <c r="B78" s="2">
        <v>1</v>
      </c>
      <c r="C78" s="2">
        <f>ROW(SmtRes!A47)</f>
        <v>47</v>
      </c>
      <c r="D78" s="2">
        <f>ROW(EtalonRes!A47)</f>
        <v>47</v>
      </c>
      <c r="E78" s="2" t="s">
        <v>142</v>
      </c>
      <c r="F78" s="2" t="s">
        <v>143</v>
      </c>
      <c r="G78" s="2" t="s">
        <v>144</v>
      </c>
      <c r="H78" s="2" t="s">
        <v>25</v>
      </c>
      <c r="I78" s="2">
        <f>ROUND(173.3/100,7)</f>
        <v>1.733</v>
      </c>
      <c r="J78" s="2">
        <v>0</v>
      </c>
      <c r="K78" s="2">
        <f>ROUND(173.3/100,7)</f>
        <v>1.733</v>
      </c>
      <c r="L78" s="2"/>
      <c r="M78" s="2"/>
      <c r="N78" s="2"/>
      <c r="O78" s="2">
        <f t="shared" si="74"/>
        <v>8920</v>
      </c>
      <c r="P78" s="2">
        <f t="shared" si="75"/>
        <v>5940.34</v>
      </c>
      <c r="Q78" s="2">
        <f t="shared" si="76"/>
        <v>171.63</v>
      </c>
      <c r="R78" s="2">
        <f t="shared" si="77"/>
        <v>114.12</v>
      </c>
      <c r="S78" s="2">
        <f t="shared" si="78"/>
        <v>2808.03</v>
      </c>
      <c r="T78" s="2">
        <f t="shared" si="79"/>
        <v>0</v>
      </c>
      <c r="U78" s="2">
        <f t="shared" si="80"/>
        <v>275.0271</v>
      </c>
      <c r="V78" s="2">
        <f t="shared" si="81"/>
        <v>11.177850000000001</v>
      </c>
      <c r="W78" s="2">
        <f t="shared" si="82"/>
        <v>0</v>
      </c>
      <c r="X78" s="2">
        <f t="shared" si="83"/>
        <v>2945.53</v>
      </c>
      <c r="Y78" s="2">
        <f t="shared" si="84"/>
        <v>1614.49</v>
      </c>
      <c r="Z78" s="2"/>
      <c r="AA78" s="2">
        <v>55463411</v>
      </c>
      <c r="AB78" s="2">
        <f t="shared" si="85"/>
        <v>5147.15</v>
      </c>
      <c r="AC78" s="2">
        <f t="shared" si="86"/>
        <v>3427.78</v>
      </c>
      <c r="AD78" s="2">
        <f>ROUND(((((ET78*ROUND(1.25,7)))-((EU78*ROUND(1.25,7))))+AE78),2)</f>
        <v>99.04</v>
      </c>
      <c r="AE78" s="2">
        <f>ROUND(((EU78*ROUND(1.25,7))),2)</f>
        <v>65.85</v>
      </c>
      <c r="AF78" s="2">
        <f>ROUND(((EV78*ROUND(1.15,7))),2)</f>
        <v>1620.33</v>
      </c>
      <c r="AG78" s="2">
        <f t="shared" si="87"/>
        <v>0</v>
      </c>
      <c r="AH78" s="2">
        <f>((EW78*ROUND(1.15,7)))</f>
        <v>158.7</v>
      </c>
      <c r="AI78" s="2">
        <f>((EX78*ROUND(1.25,7)))</f>
        <v>6.45</v>
      </c>
      <c r="AJ78" s="2">
        <f t="shared" si="88"/>
        <v>0</v>
      </c>
      <c r="AK78" s="2">
        <v>4915.99</v>
      </c>
      <c r="AL78" s="2">
        <v>3427.78</v>
      </c>
      <c r="AM78" s="2">
        <v>79.23</v>
      </c>
      <c r="AN78" s="2">
        <v>52.68</v>
      </c>
      <c r="AO78" s="2">
        <v>1408.98</v>
      </c>
      <c r="AP78" s="2">
        <v>0</v>
      </c>
      <c r="AQ78" s="2">
        <v>138</v>
      </c>
      <c r="AR78" s="2">
        <v>5.16</v>
      </c>
      <c r="AS78" s="2">
        <v>0</v>
      </c>
      <c r="AT78" s="2">
        <v>100.8</v>
      </c>
      <c r="AU78" s="2">
        <v>55.25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145</v>
      </c>
      <c r="BK78" s="2"/>
      <c r="BL78" s="2"/>
      <c r="BM78" s="2">
        <v>11001</v>
      </c>
      <c r="BN78" s="2">
        <v>0</v>
      </c>
      <c r="BO78" s="2" t="s">
        <v>3</v>
      </c>
      <c r="BP78" s="2">
        <v>0</v>
      </c>
      <c r="BQ78" s="2">
        <v>2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112</v>
      </c>
      <c r="CA78" s="2">
        <v>65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480</v>
      </c>
      <c r="CO78" s="2">
        <v>0</v>
      </c>
      <c r="CP78" s="2">
        <f t="shared" si="89"/>
        <v>8920</v>
      </c>
      <c r="CQ78" s="2">
        <f t="shared" si="90"/>
        <v>3427.78</v>
      </c>
      <c r="CR78" s="2">
        <f>((((ET78*ROUND(1.25,7)))*BB78-((EU78*ROUND(1.25,7))))+AE78)</f>
        <v>99.03750000000001</v>
      </c>
      <c r="CS78" s="2">
        <f t="shared" si="91"/>
        <v>65.85</v>
      </c>
      <c r="CT78" s="2">
        <f t="shared" si="92"/>
        <v>1620.33</v>
      </c>
      <c r="CU78" s="2">
        <f t="shared" si="93"/>
        <v>0</v>
      </c>
      <c r="CV78" s="2">
        <f t="shared" si="94"/>
        <v>158.7</v>
      </c>
      <c r="CW78" s="2">
        <f t="shared" si="95"/>
        <v>6.45</v>
      </c>
      <c r="CX78" s="2">
        <f t="shared" si="96"/>
        <v>0</v>
      </c>
      <c r="CY78" s="2">
        <f t="shared" si="97"/>
        <v>2945.5271999999995</v>
      </c>
      <c r="CZ78" s="2">
        <f t="shared" si="98"/>
        <v>1614.487875</v>
      </c>
      <c r="DA78" s="2"/>
      <c r="DB78" s="2"/>
      <c r="DC78" s="2" t="s">
        <v>3</v>
      </c>
      <c r="DD78" s="2" t="s">
        <v>3</v>
      </c>
      <c r="DE78" s="2" t="s">
        <v>56</v>
      </c>
      <c r="DF78" s="2" t="s">
        <v>56</v>
      </c>
      <c r="DG78" s="2" t="s">
        <v>57</v>
      </c>
      <c r="DH78" s="2" t="s">
        <v>3</v>
      </c>
      <c r="DI78" s="2" t="s">
        <v>57</v>
      </c>
      <c r="DJ78" s="2" t="s">
        <v>56</v>
      </c>
      <c r="DK78" s="2" t="s">
        <v>3</v>
      </c>
      <c r="DL78" s="2" t="s">
        <v>58</v>
      </c>
      <c r="DM78" s="2" t="s">
        <v>59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1005</v>
      </c>
      <c r="DV78" s="2" t="s">
        <v>25</v>
      </c>
      <c r="DW78" s="2" t="s">
        <v>25</v>
      </c>
      <c r="DX78" s="2">
        <v>100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55471663</v>
      </c>
      <c r="EF78" s="2">
        <v>2</v>
      </c>
      <c r="EG78" s="2" t="s">
        <v>60</v>
      </c>
      <c r="EH78" s="2">
        <v>11</v>
      </c>
      <c r="EI78" s="2" t="s">
        <v>28</v>
      </c>
      <c r="EJ78" s="2">
        <v>1</v>
      </c>
      <c r="EK78" s="2">
        <v>11001</v>
      </c>
      <c r="EL78" s="2" t="s">
        <v>28</v>
      </c>
      <c r="EM78" s="2" t="s">
        <v>146</v>
      </c>
      <c r="EN78" s="2"/>
      <c r="EO78" s="2" t="s">
        <v>139</v>
      </c>
      <c r="EP78" s="2"/>
      <c r="EQ78" s="2">
        <v>0</v>
      </c>
      <c r="ER78" s="2">
        <v>4915.99</v>
      </c>
      <c r="ES78" s="2">
        <v>3427.78</v>
      </c>
      <c r="ET78" s="2">
        <v>79.23</v>
      </c>
      <c r="EU78" s="2">
        <v>52.68</v>
      </c>
      <c r="EV78" s="2">
        <v>1408.98</v>
      </c>
      <c r="EW78" s="2">
        <v>138</v>
      </c>
      <c r="EX78" s="2">
        <v>5.16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99"/>
        <v>0</v>
      </c>
      <c r="FS78" s="2">
        <v>0</v>
      </c>
      <c r="FT78" s="2"/>
      <c r="FU78" s="2"/>
      <c r="FV78" s="2"/>
      <c r="FW78" s="2"/>
      <c r="FX78" s="2">
        <v>100.8</v>
      </c>
      <c r="FY78" s="2">
        <v>55.25</v>
      </c>
      <c r="FZ78" s="2"/>
      <c r="GA78" s="2" t="s">
        <v>3</v>
      </c>
      <c r="GB78" s="2"/>
      <c r="GC78" s="2"/>
      <c r="GD78" s="2">
        <v>1</v>
      </c>
      <c r="GE78" s="2"/>
      <c r="GF78" s="2">
        <v>150967848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100"/>
        <v>0</v>
      </c>
      <c r="GM78" s="2">
        <f t="shared" si="101"/>
        <v>13480.02</v>
      </c>
      <c r="GN78" s="2">
        <f t="shared" si="102"/>
        <v>13480.02</v>
      </c>
      <c r="GO78" s="2">
        <f t="shared" si="103"/>
        <v>0</v>
      </c>
      <c r="GP78" s="2">
        <f t="shared" si="104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105"/>
        <v>0</v>
      </c>
      <c r="GW78" s="2">
        <v>1</v>
      </c>
      <c r="GX78" s="2">
        <f t="shared" si="106"/>
        <v>0</v>
      </c>
      <c r="GY78" s="2"/>
      <c r="GZ78" s="2"/>
      <c r="HA78" s="2">
        <v>0</v>
      </c>
      <c r="HB78" s="2">
        <v>0</v>
      </c>
      <c r="HC78" s="2">
        <f t="shared" si="107"/>
        <v>0</v>
      </c>
      <c r="HD78" s="2"/>
      <c r="HE78" s="2" t="s">
        <v>3</v>
      </c>
      <c r="HF78" s="2" t="s">
        <v>3</v>
      </c>
      <c r="HG78" s="2"/>
      <c r="HH78" s="2"/>
      <c r="HI78" s="2">
        <f t="shared" si="108"/>
        <v>114.12</v>
      </c>
      <c r="HJ78" s="2">
        <f t="shared" si="109"/>
        <v>2808.03</v>
      </c>
      <c r="HK78" s="2">
        <f t="shared" si="110"/>
        <v>2945.53</v>
      </c>
      <c r="HL78" s="2">
        <f t="shared" si="111"/>
        <v>1614.49</v>
      </c>
      <c r="HM78" s="2" t="s">
        <v>3</v>
      </c>
      <c r="HN78" s="2" t="s">
        <v>147</v>
      </c>
      <c r="HO78" s="2" t="s">
        <v>148</v>
      </c>
      <c r="HP78" s="2" t="s">
        <v>28</v>
      </c>
      <c r="HQ78" s="2" t="s">
        <v>28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17</v>
      </c>
      <c r="B79">
        <v>1</v>
      </c>
      <c r="C79">
        <f>ROW(SmtRes!A62)</f>
        <v>62</v>
      </c>
      <c r="D79">
        <f>ROW(EtalonRes!A62)</f>
        <v>62</v>
      </c>
      <c r="E79" t="s">
        <v>142</v>
      </c>
      <c r="F79" t="s">
        <v>143</v>
      </c>
      <c r="G79" t="s">
        <v>144</v>
      </c>
      <c r="H79" t="s">
        <v>25</v>
      </c>
      <c r="I79">
        <f>ROUND(173.3/100,7)</f>
        <v>1.733</v>
      </c>
      <c r="J79">
        <v>0</v>
      </c>
      <c r="K79">
        <f>ROUND(173.3/100,7)</f>
        <v>1.733</v>
      </c>
      <c r="O79">
        <f t="shared" si="74"/>
        <v>8920</v>
      </c>
      <c r="P79">
        <f t="shared" si="75"/>
        <v>5940.34</v>
      </c>
      <c r="Q79">
        <f t="shared" si="76"/>
        <v>171.63</v>
      </c>
      <c r="R79">
        <f t="shared" si="77"/>
        <v>114.12</v>
      </c>
      <c r="S79">
        <f t="shared" si="78"/>
        <v>2808.03</v>
      </c>
      <c r="T79">
        <f t="shared" si="79"/>
        <v>0</v>
      </c>
      <c r="U79">
        <f t="shared" si="80"/>
        <v>275.0271</v>
      </c>
      <c r="V79">
        <f t="shared" si="81"/>
        <v>11.177850000000001</v>
      </c>
      <c r="W79">
        <f t="shared" si="82"/>
        <v>0</v>
      </c>
      <c r="X79">
        <f t="shared" si="83"/>
        <v>2945.53</v>
      </c>
      <c r="Y79">
        <f t="shared" si="84"/>
        <v>1614.49</v>
      </c>
      <c r="AA79">
        <v>55463412</v>
      </c>
      <c r="AB79">
        <f t="shared" si="85"/>
        <v>5147.15</v>
      </c>
      <c r="AC79">
        <f t="shared" si="86"/>
        <v>3427.78</v>
      </c>
      <c r="AD79">
        <f>ROUND(((((ET79*ROUND(1.25,7)))-((EU79*ROUND(1.25,7))))+AE79),2)</f>
        <v>99.04</v>
      </c>
      <c r="AE79">
        <f>ROUND(((EU79*ROUND(1.25,7))),2)</f>
        <v>65.85</v>
      </c>
      <c r="AF79">
        <f>ROUND(((EV79*ROUND(1.15,7))),2)</f>
        <v>1620.33</v>
      </c>
      <c r="AG79">
        <f t="shared" si="87"/>
        <v>0</v>
      </c>
      <c r="AH79">
        <f>((EW79*ROUND(1.15,7)))</f>
        <v>158.7</v>
      </c>
      <c r="AI79">
        <f>((EX79*ROUND(1.25,7)))</f>
        <v>6.45</v>
      </c>
      <c r="AJ79">
        <f t="shared" si="88"/>
        <v>0</v>
      </c>
      <c r="AK79">
        <v>4915.99</v>
      </c>
      <c r="AL79">
        <v>3427.78</v>
      </c>
      <c r="AM79">
        <v>79.23</v>
      </c>
      <c r="AN79">
        <v>52.68</v>
      </c>
      <c r="AO79">
        <v>1408.98</v>
      </c>
      <c r="AP79">
        <v>0</v>
      </c>
      <c r="AQ79">
        <v>138</v>
      </c>
      <c r="AR79">
        <v>5.16</v>
      </c>
      <c r="AS79">
        <v>0</v>
      </c>
      <c r="AT79">
        <v>100.8</v>
      </c>
      <c r="AU79">
        <v>55.25</v>
      </c>
      <c r="AV79">
        <v>1</v>
      </c>
      <c r="AW79">
        <v>1</v>
      </c>
      <c r="AZ79">
        <v>1</v>
      </c>
      <c r="BA79">
        <v>36.47</v>
      </c>
      <c r="BB79">
        <v>1</v>
      </c>
      <c r="BC79">
        <v>1</v>
      </c>
      <c r="BH79">
        <v>0</v>
      </c>
      <c r="BI79">
        <v>1</v>
      </c>
      <c r="BJ79" t="s">
        <v>145</v>
      </c>
      <c r="BM79">
        <v>11001</v>
      </c>
      <c r="BN79">
        <v>0</v>
      </c>
      <c r="BO79" t="s">
        <v>32</v>
      </c>
      <c r="BP79">
        <v>1</v>
      </c>
      <c r="BQ79">
        <v>2</v>
      </c>
      <c r="BR79">
        <v>0</v>
      </c>
      <c r="BS79">
        <v>36.47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E79">
        <v>0</v>
      </c>
      <c r="CF79">
        <v>0</v>
      </c>
      <c r="CG79">
        <v>0</v>
      </c>
      <c r="CM79">
        <v>0</v>
      </c>
      <c r="CN79" t="s">
        <v>480</v>
      </c>
      <c r="CO79">
        <v>0</v>
      </c>
      <c r="CP79">
        <f t="shared" si="89"/>
        <v>8920</v>
      </c>
      <c r="CQ79">
        <f t="shared" si="90"/>
        <v>3427.78</v>
      </c>
      <c r="CR79">
        <f>((((ET79*ROUND(1.25,7)))*BB79-((EU79*ROUND(1.25,7))))+AE79)</f>
        <v>99.03750000000001</v>
      </c>
      <c r="CS79">
        <f t="shared" si="91"/>
        <v>65.85</v>
      </c>
      <c r="CT79">
        <f t="shared" si="92"/>
        <v>1620.33</v>
      </c>
      <c r="CU79">
        <f t="shared" si="93"/>
        <v>0</v>
      </c>
      <c r="CV79">
        <f t="shared" si="94"/>
        <v>158.7</v>
      </c>
      <c r="CW79">
        <f t="shared" si="95"/>
        <v>6.45</v>
      </c>
      <c r="CX79">
        <f t="shared" si="96"/>
        <v>0</v>
      </c>
      <c r="CY79">
        <f t="shared" si="97"/>
        <v>2945.5271999999995</v>
      </c>
      <c r="CZ79">
        <f t="shared" si="98"/>
        <v>1614.487875</v>
      </c>
      <c r="DE79" t="s">
        <v>56</v>
      </c>
      <c r="DF79" t="s">
        <v>56</v>
      </c>
      <c r="DG79" t="s">
        <v>57</v>
      </c>
      <c r="DI79" t="s">
        <v>57</v>
      </c>
      <c r="DJ79" t="s">
        <v>56</v>
      </c>
      <c r="DL79" t="s">
        <v>58</v>
      </c>
      <c r="DM79" t="s">
        <v>59</v>
      </c>
      <c r="DN79">
        <v>0</v>
      </c>
      <c r="DO79">
        <v>0</v>
      </c>
      <c r="DP79">
        <v>1</v>
      </c>
      <c r="DQ79">
        <v>1</v>
      </c>
      <c r="DU79">
        <v>1005</v>
      </c>
      <c r="DV79" t="s">
        <v>25</v>
      </c>
      <c r="DW79" t="s">
        <v>25</v>
      </c>
      <c r="DX79">
        <v>100</v>
      </c>
      <c r="EE79">
        <v>55471663</v>
      </c>
      <c r="EF79">
        <v>2</v>
      </c>
      <c r="EG79" t="s">
        <v>60</v>
      </c>
      <c r="EH79">
        <v>11</v>
      </c>
      <c r="EI79" t="s">
        <v>28</v>
      </c>
      <c r="EJ79">
        <v>1</v>
      </c>
      <c r="EK79">
        <v>11001</v>
      </c>
      <c r="EL79" t="s">
        <v>28</v>
      </c>
      <c r="EM79" t="s">
        <v>146</v>
      </c>
      <c r="EO79" t="s">
        <v>139</v>
      </c>
      <c r="EQ79">
        <v>0</v>
      </c>
      <c r="ER79">
        <v>4915.99</v>
      </c>
      <c r="ES79">
        <v>3427.78</v>
      </c>
      <c r="ET79">
        <v>79.23</v>
      </c>
      <c r="EU79">
        <v>52.68</v>
      </c>
      <c r="EV79">
        <v>1408.98</v>
      </c>
      <c r="EW79">
        <v>138</v>
      </c>
      <c r="EX79">
        <v>5.16</v>
      </c>
      <c r="EY79">
        <v>0</v>
      </c>
      <c r="FQ79">
        <v>0</v>
      </c>
      <c r="FR79">
        <f t="shared" si="99"/>
        <v>0</v>
      </c>
      <c r="FS79">
        <v>0</v>
      </c>
      <c r="FX79">
        <v>100.8</v>
      </c>
      <c r="FY79">
        <v>55.25</v>
      </c>
      <c r="GD79">
        <v>1</v>
      </c>
      <c r="GF79">
        <v>150967848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100"/>
        <v>0</v>
      </c>
      <c r="GM79">
        <f t="shared" si="101"/>
        <v>13480.02</v>
      </c>
      <c r="GN79">
        <f t="shared" si="102"/>
        <v>13480.02</v>
      </c>
      <c r="GO79">
        <f t="shared" si="103"/>
        <v>0</v>
      </c>
      <c r="GP79">
        <f t="shared" si="104"/>
        <v>0</v>
      </c>
      <c r="GR79">
        <v>0</v>
      </c>
      <c r="GS79">
        <v>3</v>
      </c>
      <c r="GT79">
        <v>0</v>
      </c>
      <c r="GV79">
        <f t="shared" si="105"/>
        <v>0</v>
      </c>
      <c r="GW79">
        <v>1</v>
      </c>
      <c r="GX79">
        <f t="shared" si="106"/>
        <v>0</v>
      </c>
      <c r="HA79">
        <v>0</v>
      </c>
      <c r="HB79">
        <v>0</v>
      </c>
      <c r="HC79">
        <f t="shared" si="107"/>
        <v>0</v>
      </c>
      <c r="HI79">
        <f t="shared" si="108"/>
        <v>4161.96</v>
      </c>
      <c r="HJ79">
        <f t="shared" si="109"/>
        <v>102408.85</v>
      </c>
      <c r="HK79">
        <f t="shared" si="110"/>
        <v>107423.38</v>
      </c>
      <c r="HL79">
        <f t="shared" si="111"/>
        <v>58880.37</v>
      </c>
      <c r="HN79" t="s">
        <v>147</v>
      </c>
      <c r="HO79" t="s">
        <v>148</v>
      </c>
      <c r="HP79" t="s">
        <v>28</v>
      </c>
      <c r="HQ79" t="s">
        <v>28</v>
      </c>
      <c r="IK79">
        <v>0</v>
      </c>
    </row>
    <row r="80" spans="1:255" ht="12.75">
      <c r="A80" s="2">
        <v>18</v>
      </c>
      <c r="B80" s="2">
        <v>1</v>
      </c>
      <c r="C80" s="2">
        <v>39</v>
      </c>
      <c r="D80" s="2"/>
      <c r="E80" s="2" t="s">
        <v>149</v>
      </c>
      <c r="F80" s="2" t="s">
        <v>150</v>
      </c>
      <c r="G80" s="2" t="s">
        <v>151</v>
      </c>
      <c r="H80" s="2" t="s">
        <v>36</v>
      </c>
      <c r="I80" s="2">
        <f>I78*J80</f>
        <v>-0.201028</v>
      </c>
      <c r="J80" s="2">
        <v>-0.116</v>
      </c>
      <c r="K80" s="2">
        <v>-0.116</v>
      </c>
      <c r="L80" s="2"/>
      <c r="M80" s="2"/>
      <c r="N80" s="2"/>
      <c r="O80" s="2">
        <f t="shared" si="74"/>
        <v>-401.05</v>
      </c>
      <c r="P80" s="2">
        <f t="shared" si="75"/>
        <v>-401.05</v>
      </c>
      <c r="Q80" s="2">
        <f t="shared" si="76"/>
        <v>0</v>
      </c>
      <c r="R80" s="2">
        <f t="shared" si="77"/>
        <v>0</v>
      </c>
      <c r="S80" s="2">
        <f t="shared" si="78"/>
        <v>0</v>
      </c>
      <c r="T80" s="2">
        <f t="shared" si="79"/>
        <v>0</v>
      </c>
      <c r="U80" s="2">
        <f t="shared" si="80"/>
        <v>0</v>
      </c>
      <c r="V80" s="2">
        <f t="shared" si="81"/>
        <v>0</v>
      </c>
      <c r="W80" s="2">
        <f t="shared" si="82"/>
        <v>0</v>
      </c>
      <c r="X80" s="2">
        <f t="shared" si="83"/>
        <v>0</v>
      </c>
      <c r="Y80" s="2">
        <f t="shared" si="84"/>
        <v>0</v>
      </c>
      <c r="Z80" s="2"/>
      <c r="AA80" s="2">
        <v>55463411</v>
      </c>
      <c r="AB80" s="2">
        <f t="shared" si="85"/>
        <v>1995</v>
      </c>
      <c r="AC80" s="2">
        <f t="shared" si="86"/>
        <v>1995</v>
      </c>
      <c r="AD80" s="2">
        <f aca="true" t="shared" si="112" ref="AD80:AD93">ROUND((((ET80)-(EU80))+AE80),2)</f>
        <v>0</v>
      </c>
      <c r="AE80" s="2">
        <f aca="true" t="shared" si="113" ref="AE80:AE93">ROUND((EU80),2)</f>
        <v>0</v>
      </c>
      <c r="AF80" s="2">
        <f aca="true" t="shared" si="114" ref="AF80:AF93">ROUND((EV80),2)</f>
        <v>0</v>
      </c>
      <c r="AG80" s="2">
        <f t="shared" si="87"/>
        <v>0</v>
      </c>
      <c r="AH80" s="2">
        <f aca="true" t="shared" si="115" ref="AH80:AH93">(EW80)</f>
        <v>0</v>
      </c>
      <c r="AI80" s="2">
        <f aca="true" t="shared" si="116" ref="AI80:AI93">(EX80)</f>
        <v>0</v>
      </c>
      <c r="AJ80" s="2">
        <f t="shared" si="88"/>
        <v>0</v>
      </c>
      <c r="AK80" s="2">
        <v>1995</v>
      </c>
      <c r="AL80" s="2">
        <v>1995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112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152</v>
      </c>
      <c r="BK80" s="2"/>
      <c r="BL80" s="2"/>
      <c r="BM80" s="2">
        <v>11001</v>
      </c>
      <c r="BN80" s="2">
        <v>0</v>
      </c>
      <c r="BO80" s="2" t="s">
        <v>3</v>
      </c>
      <c r="BP80" s="2">
        <v>0</v>
      </c>
      <c r="BQ80" s="2">
        <v>2</v>
      </c>
      <c r="BR80" s="2">
        <v>1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112</v>
      </c>
      <c r="CA80" s="2">
        <v>65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89"/>
        <v>-401.05</v>
      </c>
      <c r="CQ80" s="2">
        <f t="shared" si="90"/>
        <v>1995</v>
      </c>
      <c r="CR80" s="2">
        <f aca="true" t="shared" si="117" ref="CR80:CR93">(((ET80)*BB80-(EU80))+AE80)</f>
        <v>0</v>
      </c>
      <c r="CS80" s="2">
        <f t="shared" si="91"/>
        <v>0</v>
      </c>
      <c r="CT80" s="2">
        <f t="shared" si="92"/>
        <v>0</v>
      </c>
      <c r="CU80" s="2">
        <f t="shared" si="93"/>
        <v>0</v>
      </c>
      <c r="CV80" s="2">
        <f t="shared" si="94"/>
        <v>0</v>
      </c>
      <c r="CW80" s="2">
        <f t="shared" si="95"/>
        <v>0</v>
      </c>
      <c r="CX80" s="2">
        <f t="shared" si="96"/>
        <v>0</v>
      </c>
      <c r="CY80" s="2">
        <f t="shared" si="97"/>
        <v>0</v>
      </c>
      <c r="CZ80" s="2">
        <f t="shared" si="98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36</v>
      </c>
      <c r="DW80" s="2" t="s">
        <v>36</v>
      </c>
      <c r="DX80" s="2">
        <v>1000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55471663</v>
      </c>
      <c r="EF80" s="2">
        <v>2</v>
      </c>
      <c r="EG80" s="2" t="s">
        <v>60</v>
      </c>
      <c r="EH80" s="2">
        <v>11</v>
      </c>
      <c r="EI80" s="2" t="s">
        <v>28</v>
      </c>
      <c r="EJ80" s="2">
        <v>1</v>
      </c>
      <c r="EK80" s="2">
        <v>11001</v>
      </c>
      <c r="EL80" s="2" t="s">
        <v>28</v>
      </c>
      <c r="EM80" s="2" t="s">
        <v>146</v>
      </c>
      <c r="EN80" s="2"/>
      <c r="EO80" s="2" t="s">
        <v>3</v>
      </c>
      <c r="EP80" s="2"/>
      <c r="EQ80" s="2">
        <v>0</v>
      </c>
      <c r="ER80" s="2">
        <v>1995</v>
      </c>
      <c r="ES80" s="2">
        <v>1995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99"/>
        <v>0</v>
      </c>
      <c r="FS80" s="2">
        <v>0</v>
      </c>
      <c r="FT80" s="2"/>
      <c r="FU80" s="2"/>
      <c r="FV80" s="2"/>
      <c r="FW80" s="2"/>
      <c r="FX80" s="2">
        <v>112</v>
      </c>
      <c r="FY80" s="2">
        <v>65</v>
      </c>
      <c r="FZ80" s="2"/>
      <c r="GA80" s="2" t="s">
        <v>3</v>
      </c>
      <c r="GB80" s="2"/>
      <c r="GC80" s="2"/>
      <c r="GD80" s="2">
        <v>1</v>
      </c>
      <c r="GE80" s="2"/>
      <c r="GF80" s="2">
        <v>711732603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100"/>
        <v>0</v>
      </c>
      <c r="GM80" s="2">
        <f t="shared" si="101"/>
        <v>-401.05</v>
      </c>
      <c r="GN80" s="2">
        <f t="shared" si="102"/>
        <v>-401.05</v>
      </c>
      <c r="GO80" s="2">
        <f t="shared" si="103"/>
        <v>0</v>
      </c>
      <c r="GP80" s="2">
        <f t="shared" si="104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105"/>
        <v>0</v>
      </c>
      <c r="GW80" s="2">
        <v>1</v>
      </c>
      <c r="GX80" s="2">
        <f t="shared" si="106"/>
        <v>0</v>
      </c>
      <c r="GY80" s="2"/>
      <c r="GZ80" s="2"/>
      <c r="HA80" s="2">
        <v>0</v>
      </c>
      <c r="HB80" s="2">
        <v>0</v>
      </c>
      <c r="HC80" s="2">
        <f t="shared" si="107"/>
        <v>0</v>
      </c>
      <c r="HD80" s="2"/>
      <c r="HE80" s="2" t="s">
        <v>3</v>
      </c>
      <c r="HF80" s="2" t="s">
        <v>3</v>
      </c>
      <c r="HG80" s="2"/>
      <c r="HH80" s="2"/>
      <c r="HI80" s="2">
        <f t="shared" si="108"/>
        <v>0</v>
      </c>
      <c r="HJ80" s="2">
        <f t="shared" si="109"/>
        <v>0</v>
      </c>
      <c r="HK80" s="2">
        <f t="shared" si="110"/>
        <v>0</v>
      </c>
      <c r="HL80" s="2">
        <f t="shared" si="111"/>
        <v>0</v>
      </c>
      <c r="HM80" s="2" t="s">
        <v>3</v>
      </c>
      <c r="HN80" s="2" t="s">
        <v>147</v>
      </c>
      <c r="HO80" s="2" t="s">
        <v>148</v>
      </c>
      <c r="HP80" s="2" t="s">
        <v>28</v>
      </c>
      <c r="HQ80" s="2" t="s">
        <v>28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18</v>
      </c>
      <c r="B81">
        <v>1</v>
      </c>
      <c r="C81">
        <v>54</v>
      </c>
      <c r="E81" t="s">
        <v>149</v>
      </c>
      <c r="F81" t="s">
        <v>150</v>
      </c>
      <c r="G81" t="s">
        <v>151</v>
      </c>
      <c r="H81" t="s">
        <v>36</v>
      </c>
      <c r="I81">
        <f>I79*J81</f>
        <v>-0.201028</v>
      </c>
      <c r="J81">
        <v>-0.116</v>
      </c>
      <c r="K81">
        <v>-0.116</v>
      </c>
      <c r="O81">
        <f t="shared" si="74"/>
        <v>-401.05</v>
      </c>
      <c r="P81">
        <f t="shared" si="75"/>
        <v>-401.05</v>
      </c>
      <c r="Q81">
        <f t="shared" si="76"/>
        <v>0</v>
      </c>
      <c r="R81">
        <f t="shared" si="77"/>
        <v>0</v>
      </c>
      <c r="S81">
        <f t="shared" si="78"/>
        <v>0</v>
      </c>
      <c r="T81">
        <f t="shared" si="79"/>
        <v>0</v>
      </c>
      <c r="U81">
        <f t="shared" si="80"/>
        <v>0</v>
      </c>
      <c r="V81">
        <f t="shared" si="81"/>
        <v>0</v>
      </c>
      <c r="W81">
        <f t="shared" si="82"/>
        <v>0</v>
      </c>
      <c r="X81">
        <f t="shared" si="83"/>
        <v>0</v>
      </c>
      <c r="Y81">
        <f t="shared" si="84"/>
        <v>0</v>
      </c>
      <c r="AA81">
        <v>55463412</v>
      </c>
      <c r="AB81">
        <f t="shared" si="85"/>
        <v>1995</v>
      </c>
      <c r="AC81">
        <f t="shared" si="86"/>
        <v>1995</v>
      </c>
      <c r="AD81">
        <f t="shared" si="112"/>
        <v>0</v>
      </c>
      <c r="AE81">
        <f t="shared" si="113"/>
        <v>0</v>
      </c>
      <c r="AF81">
        <f t="shared" si="114"/>
        <v>0</v>
      </c>
      <c r="AG81">
        <f t="shared" si="87"/>
        <v>0</v>
      </c>
      <c r="AH81">
        <f t="shared" si="115"/>
        <v>0</v>
      </c>
      <c r="AI81">
        <f t="shared" si="116"/>
        <v>0</v>
      </c>
      <c r="AJ81">
        <f t="shared" si="88"/>
        <v>0</v>
      </c>
      <c r="AK81">
        <v>1995</v>
      </c>
      <c r="AL81">
        <v>1995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112</v>
      </c>
      <c r="AU81">
        <v>65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1</v>
      </c>
      <c r="BJ81" t="s">
        <v>152</v>
      </c>
      <c r="BM81">
        <v>11001</v>
      </c>
      <c r="BN81">
        <v>0</v>
      </c>
      <c r="BO81" t="s">
        <v>32</v>
      </c>
      <c r="BP81">
        <v>1</v>
      </c>
      <c r="BQ81">
        <v>2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E81">
        <v>0</v>
      </c>
      <c r="CF81">
        <v>0</v>
      </c>
      <c r="CG81">
        <v>0</v>
      </c>
      <c r="CM81">
        <v>0</v>
      </c>
      <c r="CO81">
        <v>0</v>
      </c>
      <c r="CP81">
        <f t="shared" si="89"/>
        <v>-401.05</v>
      </c>
      <c r="CQ81">
        <f t="shared" si="90"/>
        <v>1995</v>
      </c>
      <c r="CR81">
        <f t="shared" si="117"/>
        <v>0</v>
      </c>
      <c r="CS81">
        <f t="shared" si="91"/>
        <v>0</v>
      </c>
      <c r="CT81">
        <f t="shared" si="92"/>
        <v>0</v>
      </c>
      <c r="CU81">
        <f t="shared" si="93"/>
        <v>0</v>
      </c>
      <c r="CV81">
        <f t="shared" si="94"/>
        <v>0</v>
      </c>
      <c r="CW81">
        <f t="shared" si="95"/>
        <v>0</v>
      </c>
      <c r="CX81">
        <f t="shared" si="96"/>
        <v>0</v>
      </c>
      <c r="CY81">
        <f t="shared" si="97"/>
        <v>0</v>
      </c>
      <c r="CZ81">
        <f t="shared" si="98"/>
        <v>0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36</v>
      </c>
      <c r="DW81" t="s">
        <v>36</v>
      </c>
      <c r="DX81">
        <v>1000</v>
      </c>
      <c r="EE81">
        <v>55471663</v>
      </c>
      <c r="EF81">
        <v>2</v>
      </c>
      <c r="EG81" t="s">
        <v>60</v>
      </c>
      <c r="EH81">
        <v>11</v>
      </c>
      <c r="EI81" t="s">
        <v>28</v>
      </c>
      <c r="EJ81">
        <v>1</v>
      </c>
      <c r="EK81">
        <v>11001</v>
      </c>
      <c r="EL81" t="s">
        <v>28</v>
      </c>
      <c r="EM81" t="s">
        <v>146</v>
      </c>
      <c r="EQ81">
        <v>0</v>
      </c>
      <c r="ER81">
        <v>1995</v>
      </c>
      <c r="ES81">
        <v>1995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99"/>
        <v>0</v>
      </c>
      <c r="FS81">
        <v>0</v>
      </c>
      <c r="FX81">
        <v>112</v>
      </c>
      <c r="FY81">
        <v>65</v>
      </c>
      <c r="GD81">
        <v>1</v>
      </c>
      <c r="GF81">
        <v>711732603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100"/>
        <v>0</v>
      </c>
      <c r="GM81">
        <f t="shared" si="101"/>
        <v>-401.05</v>
      </c>
      <c r="GN81">
        <f t="shared" si="102"/>
        <v>-401.05</v>
      </c>
      <c r="GO81">
        <f t="shared" si="103"/>
        <v>0</v>
      </c>
      <c r="GP81">
        <f t="shared" si="104"/>
        <v>0</v>
      </c>
      <c r="GR81">
        <v>0</v>
      </c>
      <c r="GS81">
        <v>3</v>
      </c>
      <c r="GT81">
        <v>0</v>
      </c>
      <c r="GV81">
        <f t="shared" si="105"/>
        <v>0</v>
      </c>
      <c r="GW81">
        <v>1</v>
      </c>
      <c r="GX81">
        <f t="shared" si="106"/>
        <v>0</v>
      </c>
      <c r="HA81">
        <v>0</v>
      </c>
      <c r="HB81">
        <v>0</v>
      </c>
      <c r="HC81">
        <f t="shared" si="107"/>
        <v>0</v>
      </c>
      <c r="HI81">
        <f t="shared" si="108"/>
        <v>0</v>
      </c>
      <c r="HJ81">
        <f t="shared" si="109"/>
        <v>0</v>
      </c>
      <c r="HK81">
        <f t="shared" si="110"/>
        <v>0</v>
      </c>
      <c r="HL81">
        <f t="shared" si="111"/>
        <v>0</v>
      </c>
      <c r="HN81" t="s">
        <v>147</v>
      </c>
      <c r="HO81" t="s">
        <v>148</v>
      </c>
      <c r="HP81" t="s">
        <v>28</v>
      </c>
      <c r="HQ81" t="s">
        <v>28</v>
      </c>
      <c r="IK81">
        <v>0</v>
      </c>
    </row>
    <row r="82" spans="1:255" ht="12.75">
      <c r="A82" s="2">
        <v>18</v>
      </c>
      <c r="B82" s="2">
        <v>1</v>
      </c>
      <c r="C82" s="2">
        <v>40</v>
      </c>
      <c r="D82" s="2"/>
      <c r="E82" s="2" t="s">
        <v>153</v>
      </c>
      <c r="F82" s="2" t="s">
        <v>154</v>
      </c>
      <c r="G82" s="2" t="s">
        <v>155</v>
      </c>
      <c r="H82" s="2" t="s">
        <v>36</v>
      </c>
      <c r="I82" s="2">
        <f>I78*J82</f>
        <v>-0.081451</v>
      </c>
      <c r="J82" s="2">
        <v>-0.04699999999999999</v>
      </c>
      <c r="K82" s="2">
        <v>-0.047</v>
      </c>
      <c r="L82" s="2"/>
      <c r="M82" s="2"/>
      <c r="N82" s="2"/>
      <c r="O82" s="2">
        <f t="shared" si="74"/>
        <v>-365.58</v>
      </c>
      <c r="P82" s="2">
        <f t="shared" si="75"/>
        <v>-365.58</v>
      </c>
      <c r="Q82" s="2">
        <f t="shared" si="76"/>
        <v>0</v>
      </c>
      <c r="R82" s="2">
        <f t="shared" si="77"/>
        <v>0</v>
      </c>
      <c r="S82" s="2">
        <f t="shared" si="78"/>
        <v>0</v>
      </c>
      <c r="T82" s="2">
        <f t="shared" si="79"/>
        <v>0</v>
      </c>
      <c r="U82" s="2">
        <f t="shared" si="80"/>
        <v>0</v>
      </c>
      <c r="V82" s="2">
        <f t="shared" si="81"/>
        <v>0</v>
      </c>
      <c r="W82" s="2">
        <f t="shared" si="82"/>
        <v>0</v>
      </c>
      <c r="X82" s="2">
        <f t="shared" si="83"/>
        <v>0</v>
      </c>
      <c r="Y82" s="2">
        <f t="shared" si="84"/>
        <v>0</v>
      </c>
      <c r="Z82" s="2"/>
      <c r="AA82" s="2">
        <v>55463411</v>
      </c>
      <c r="AB82" s="2">
        <f t="shared" si="85"/>
        <v>4488.4</v>
      </c>
      <c r="AC82" s="2">
        <f t="shared" si="86"/>
        <v>4488.4</v>
      </c>
      <c r="AD82" s="2">
        <f t="shared" si="112"/>
        <v>0</v>
      </c>
      <c r="AE82" s="2">
        <f t="shared" si="113"/>
        <v>0</v>
      </c>
      <c r="AF82" s="2">
        <f t="shared" si="114"/>
        <v>0</v>
      </c>
      <c r="AG82" s="2">
        <f t="shared" si="87"/>
        <v>0</v>
      </c>
      <c r="AH82" s="2">
        <f t="shared" si="115"/>
        <v>0</v>
      </c>
      <c r="AI82" s="2">
        <f t="shared" si="116"/>
        <v>0</v>
      </c>
      <c r="AJ82" s="2">
        <f t="shared" si="88"/>
        <v>0</v>
      </c>
      <c r="AK82" s="2">
        <v>4488.4</v>
      </c>
      <c r="AL82" s="2">
        <v>4488.4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112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156</v>
      </c>
      <c r="BK82" s="2"/>
      <c r="BL82" s="2"/>
      <c r="BM82" s="2">
        <v>11001</v>
      </c>
      <c r="BN82" s="2">
        <v>0</v>
      </c>
      <c r="BO82" s="2" t="s">
        <v>3</v>
      </c>
      <c r="BP82" s="2">
        <v>0</v>
      </c>
      <c r="BQ82" s="2">
        <v>2</v>
      </c>
      <c r="BR82" s="2">
        <v>1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112</v>
      </c>
      <c r="CA82" s="2">
        <v>65</v>
      </c>
      <c r="CB82" s="2" t="s">
        <v>3</v>
      </c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89"/>
        <v>-365.58</v>
      </c>
      <c r="CQ82" s="2">
        <f t="shared" si="90"/>
        <v>4488.4</v>
      </c>
      <c r="CR82" s="2">
        <f t="shared" si="117"/>
        <v>0</v>
      </c>
      <c r="CS82" s="2">
        <f t="shared" si="91"/>
        <v>0</v>
      </c>
      <c r="CT82" s="2">
        <f t="shared" si="92"/>
        <v>0</v>
      </c>
      <c r="CU82" s="2">
        <f t="shared" si="93"/>
        <v>0</v>
      </c>
      <c r="CV82" s="2">
        <f t="shared" si="94"/>
        <v>0</v>
      </c>
      <c r="CW82" s="2">
        <f t="shared" si="95"/>
        <v>0</v>
      </c>
      <c r="CX82" s="2">
        <f t="shared" si="96"/>
        <v>0</v>
      </c>
      <c r="CY82" s="2">
        <f t="shared" si="97"/>
        <v>0</v>
      </c>
      <c r="CZ82" s="2">
        <f t="shared" si="98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36</v>
      </c>
      <c r="DW82" s="2" t="s">
        <v>36</v>
      </c>
      <c r="DX82" s="2">
        <v>1000</v>
      </c>
      <c r="DY82" s="2"/>
      <c r="DZ82" s="2" t="s">
        <v>3</v>
      </c>
      <c r="EA82" s="2" t="s">
        <v>3</v>
      </c>
      <c r="EB82" s="2" t="s">
        <v>3</v>
      </c>
      <c r="EC82" s="2" t="s">
        <v>3</v>
      </c>
      <c r="ED82" s="2"/>
      <c r="EE82" s="2">
        <v>55471663</v>
      </c>
      <c r="EF82" s="2">
        <v>2</v>
      </c>
      <c r="EG82" s="2" t="s">
        <v>60</v>
      </c>
      <c r="EH82" s="2">
        <v>11</v>
      </c>
      <c r="EI82" s="2" t="s">
        <v>28</v>
      </c>
      <c r="EJ82" s="2">
        <v>1</v>
      </c>
      <c r="EK82" s="2">
        <v>11001</v>
      </c>
      <c r="EL82" s="2" t="s">
        <v>28</v>
      </c>
      <c r="EM82" s="2" t="s">
        <v>146</v>
      </c>
      <c r="EN82" s="2"/>
      <c r="EO82" s="2" t="s">
        <v>3</v>
      </c>
      <c r="EP82" s="2"/>
      <c r="EQ82" s="2">
        <v>0</v>
      </c>
      <c r="ER82" s="2">
        <v>4488.4</v>
      </c>
      <c r="ES82" s="2">
        <v>4488.4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99"/>
        <v>0</v>
      </c>
      <c r="FS82" s="2">
        <v>0</v>
      </c>
      <c r="FT82" s="2"/>
      <c r="FU82" s="2"/>
      <c r="FV82" s="2"/>
      <c r="FW82" s="2"/>
      <c r="FX82" s="2">
        <v>112</v>
      </c>
      <c r="FY82" s="2">
        <v>65</v>
      </c>
      <c r="FZ82" s="2"/>
      <c r="GA82" s="2" t="s">
        <v>3</v>
      </c>
      <c r="GB82" s="2"/>
      <c r="GC82" s="2"/>
      <c r="GD82" s="2">
        <v>1</v>
      </c>
      <c r="GE82" s="2"/>
      <c r="GF82" s="2">
        <v>1314668235</v>
      </c>
      <c r="GG82" s="2">
        <v>2</v>
      </c>
      <c r="GH82" s="2">
        <v>1</v>
      </c>
      <c r="GI82" s="2">
        <v>-2</v>
      </c>
      <c r="GJ82" s="2">
        <v>0</v>
      </c>
      <c r="GK82" s="2">
        <v>0</v>
      </c>
      <c r="GL82" s="2">
        <f t="shared" si="100"/>
        <v>0</v>
      </c>
      <c r="GM82" s="2">
        <f t="shared" si="101"/>
        <v>-365.58</v>
      </c>
      <c r="GN82" s="2">
        <f t="shared" si="102"/>
        <v>-365.58</v>
      </c>
      <c r="GO82" s="2">
        <f t="shared" si="103"/>
        <v>0</v>
      </c>
      <c r="GP82" s="2">
        <f t="shared" si="104"/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 t="shared" si="105"/>
        <v>0</v>
      </c>
      <c r="GW82" s="2">
        <v>1</v>
      </c>
      <c r="GX82" s="2">
        <f t="shared" si="106"/>
        <v>0</v>
      </c>
      <c r="GY82" s="2"/>
      <c r="GZ82" s="2"/>
      <c r="HA82" s="2">
        <v>0</v>
      </c>
      <c r="HB82" s="2">
        <v>0</v>
      </c>
      <c r="HC82" s="2">
        <f t="shared" si="107"/>
        <v>0</v>
      </c>
      <c r="HD82" s="2"/>
      <c r="HE82" s="2" t="s">
        <v>3</v>
      </c>
      <c r="HF82" s="2" t="s">
        <v>3</v>
      </c>
      <c r="HG82" s="2"/>
      <c r="HH82" s="2"/>
      <c r="HI82" s="2">
        <f t="shared" si="108"/>
        <v>0</v>
      </c>
      <c r="HJ82" s="2">
        <f t="shared" si="109"/>
        <v>0</v>
      </c>
      <c r="HK82" s="2">
        <f t="shared" si="110"/>
        <v>0</v>
      </c>
      <c r="HL82" s="2">
        <f t="shared" si="111"/>
        <v>0</v>
      </c>
      <c r="HM82" s="2" t="s">
        <v>3</v>
      </c>
      <c r="HN82" s="2" t="s">
        <v>147</v>
      </c>
      <c r="HO82" s="2" t="s">
        <v>148</v>
      </c>
      <c r="HP82" s="2" t="s">
        <v>28</v>
      </c>
      <c r="HQ82" s="2" t="s">
        <v>28</v>
      </c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45" ht="12.75">
      <c r="A83">
        <v>18</v>
      </c>
      <c r="B83">
        <v>1</v>
      </c>
      <c r="C83">
        <v>55</v>
      </c>
      <c r="E83" t="s">
        <v>153</v>
      </c>
      <c r="F83" t="s">
        <v>154</v>
      </c>
      <c r="G83" t="s">
        <v>155</v>
      </c>
      <c r="H83" t="s">
        <v>36</v>
      </c>
      <c r="I83">
        <f>I79*J83</f>
        <v>-0.081451</v>
      </c>
      <c r="J83">
        <v>-0.04699999999999999</v>
      </c>
      <c r="K83">
        <v>-0.047</v>
      </c>
      <c r="O83">
        <f t="shared" si="74"/>
        <v>-365.58</v>
      </c>
      <c r="P83">
        <f t="shared" si="75"/>
        <v>-365.58</v>
      </c>
      <c r="Q83">
        <f t="shared" si="76"/>
        <v>0</v>
      </c>
      <c r="R83">
        <f t="shared" si="77"/>
        <v>0</v>
      </c>
      <c r="S83">
        <f t="shared" si="78"/>
        <v>0</v>
      </c>
      <c r="T83">
        <f t="shared" si="79"/>
        <v>0</v>
      </c>
      <c r="U83">
        <f t="shared" si="80"/>
        <v>0</v>
      </c>
      <c r="V83">
        <f t="shared" si="81"/>
        <v>0</v>
      </c>
      <c r="W83">
        <f t="shared" si="82"/>
        <v>0</v>
      </c>
      <c r="X83">
        <f t="shared" si="83"/>
        <v>0</v>
      </c>
      <c r="Y83">
        <f t="shared" si="84"/>
        <v>0</v>
      </c>
      <c r="AA83">
        <v>55463412</v>
      </c>
      <c r="AB83">
        <f t="shared" si="85"/>
        <v>4488.4</v>
      </c>
      <c r="AC83">
        <f t="shared" si="86"/>
        <v>4488.4</v>
      </c>
      <c r="AD83">
        <f t="shared" si="112"/>
        <v>0</v>
      </c>
      <c r="AE83">
        <f t="shared" si="113"/>
        <v>0</v>
      </c>
      <c r="AF83">
        <f t="shared" si="114"/>
        <v>0</v>
      </c>
      <c r="AG83">
        <f t="shared" si="87"/>
        <v>0</v>
      </c>
      <c r="AH83">
        <f t="shared" si="115"/>
        <v>0</v>
      </c>
      <c r="AI83">
        <f t="shared" si="116"/>
        <v>0</v>
      </c>
      <c r="AJ83">
        <f t="shared" si="88"/>
        <v>0</v>
      </c>
      <c r="AK83">
        <v>4488.4</v>
      </c>
      <c r="AL83">
        <v>4488.4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112</v>
      </c>
      <c r="AU83">
        <v>65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J83" t="s">
        <v>156</v>
      </c>
      <c r="BM83">
        <v>11001</v>
      </c>
      <c r="BN83">
        <v>0</v>
      </c>
      <c r="BO83" t="s">
        <v>32</v>
      </c>
      <c r="BP83">
        <v>1</v>
      </c>
      <c r="BQ83">
        <v>2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112</v>
      </c>
      <c r="CA83">
        <v>65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 t="shared" si="89"/>
        <v>-365.58</v>
      </c>
      <c r="CQ83">
        <f t="shared" si="90"/>
        <v>4488.4</v>
      </c>
      <c r="CR83">
        <f t="shared" si="117"/>
        <v>0</v>
      </c>
      <c r="CS83">
        <f t="shared" si="91"/>
        <v>0</v>
      </c>
      <c r="CT83">
        <f t="shared" si="92"/>
        <v>0</v>
      </c>
      <c r="CU83">
        <f t="shared" si="93"/>
        <v>0</v>
      </c>
      <c r="CV83">
        <f t="shared" si="94"/>
        <v>0</v>
      </c>
      <c r="CW83">
        <f t="shared" si="95"/>
        <v>0</v>
      </c>
      <c r="CX83">
        <f t="shared" si="96"/>
        <v>0</v>
      </c>
      <c r="CY83">
        <f t="shared" si="97"/>
        <v>0</v>
      </c>
      <c r="CZ83">
        <f t="shared" si="98"/>
        <v>0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36</v>
      </c>
      <c r="DW83" t="s">
        <v>36</v>
      </c>
      <c r="DX83">
        <v>1000</v>
      </c>
      <c r="EE83">
        <v>55471663</v>
      </c>
      <c r="EF83">
        <v>2</v>
      </c>
      <c r="EG83" t="s">
        <v>60</v>
      </c>
      <c r="EH83">
        <v>11</v>
      </c>
      <c r="EI83" t="s">
        <v>28</v>
      </c>
      <c r="EJ83">
        <v>1</v>
      </c>
      <c r="EK83">
        <v>11001</v>
      </c>
      <c r="EL83" t="s">
        <v>28</v>
      </c>
      <c r="EM83" t="s">
        <v>146</v>
      </c>
      <c r="EQ83">
        <v>0</v>
      </c>
      <c r="ER83">
        <v>4488.4</v>
      </c>
      <c r="ES83">
        <v>4488.4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9"/>
        <v>0</v>
      </c>
      <c r="FS83">
        <v>0</v>
      </c>
      <c r="FX83">
        <v>112</v>
      </c>
      <c r="FY83">
        <v>65</v>
      </c>
      <c r="GD83">
        <v>1</v>
      </c>
      <c r="GF83">
        <v>1314668235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100"/>
        <v>0</v>
      </c>
      <c r="GM83">
        <f t="shared" si="101"/>
        <v>-365.58</v>
      </c>
      <c r="GN83">
        <f t="shared" si="102"/>
        <v>-365.58</v>
      </c>
      <c r="GO83">
        <f t="shared" si="103"/>
        <v>0</v>
      </c>
      <c r="GP83">
        <f t="shared" si="104"/>
        <v>0</v>
      </c>
      <c r="GR83">
        <v>0</v>
      </c>
      <c r="GS83">
        <v>3</v>
      </c>
      <c r="GT83">
        <v>0</v>
      </c>
      <c r="GV83">
        <f t="shared" si="105"/>
        <v>0</v>
      </c>
      <c r="GW83">
        <v>1</v>
      </c>
      <c r="GX83">
        <f t="shared" si="106"/>
        <v>0</v>
      </c>
      <c r="HA83">
        <v>0</v>
      </c>
      <c r="HB83">
        <v>0</v>
      </c>
      <c r="HC83">
        <f t="shared" si="107"/>
        <v>0</v>
      </c>
      <c r="HI83">
        <f t="shared" si="108"/>
        <v>0</v>
      </c>
      <c r="HJ83">
        <f t="shared" si="109"/>
        <v>0</v>
      </c>
      <c r="HK83">
        <f t="shared" si="110"/>
        <v>0</v>
      </c>
      <c r="HL83">
        <f t="shared" si="111"/>
        <v>0</v>
      </c>
      <c r="HN83" t="s">
        <v>147</v>
      </c>
      <c r="HO83" t="s">
        <v>148</v>
      </c>
      <c r="HP83" t="s">
        <v>28</v>
      </c>
      <c r="HQ83" t="s">
        <v>28</v>
      </c>
      <c r="IK83">
        <v>0</v>
      </c>
    </row>
    <row r="84" spans="1:255" ht="12.75">
      <c r="A84" s="2">
        <v>18</v>
      </c>
      <c r="B84" s="2">
        <v>1</v>
      </c>
      <c r="C84" s="2">
        <v>43</v>
      </c>
      <c r="D84" s="2"/>
      <c r="E84" s="2" t="s">
        <v>157</v>
      </c>
      <c r="F84" s="2" t="s">
        <v>158</v>
      </c>
      <c r="G84" s="2" t="s">
        <v>159</v>
      </c>
      <c r="H84" s="2" t="s">
        <v>160</v>
      </c>
      <c r="I84" s="2">
        <f>I78*J84</f>
        <v>-0.53723</v>
      </c>
      <c r="J84" s="2">
        <v>-0.31</v>
      </c>
      <c r="K84" s="2">
        <v>-0.31</v>
      </c>
      <c r="L84" s="2"/>
      <c r="M84" s="2"/>
      <c r="N84" s="2"/>
      <c r="O84" s="2">
        <f t="shared" si="74"/>
        <v>-279.25</v>
      </c>
      <c r="P84" s="2">
        <f t="shared" si="75"/>
        <v>-279.25</v>
      </c>
      <c r="Q84" s="2">
        <f t="shared" si="76"/>
        <v>0</v>
      </c>
      <c r="R84" s="2">
        <f t="shared" si="77"/>
        <v>0</v>
      </c>
      <c r="S84" s="2">
        <f t="shared" si="78"/>
        <v>0</v>
      </c>
      <c r="T84" s="2">
        <f t="shared" si="79"/>
        <v>0</v>
      </c>
      <c r="U84" s="2">
        <f t="shared" si="80"/>
        <v>0</v>
      </c>
      <c r="V84" s="2">
        <f t="shared" si="81"/>
        <v>0</v>
      </c>
      <c r="W84" s="2">
        <f t="shared" si="82"/>
        <v>0</v>
      </c>
      <c r="X84" s="2">
        <f t="shared" si="83"/>
        <v>0</v>
      </c>
      <c r="Y84" s="2">
        <f t="shared" si="84"/>
        <v>0</v>
      </c>
      <c r="Z84" s="2"/>
      <c r="AA84" s="2">
        <v>55463411</v>
      </c>
      <c r="AB84" s="2">
        <f t="shared" si="85"/>
        <v>519.8</v>
      </c>
      <c r="AC84" s="2">
        <f t="shared" si="86"/>
        <v>519.8</v>
      </c>
      <c r="AD84" s="2">
        <f t="shared" si="112"/>
        <v>0</v>
      </c>
      <c r="AE84" s="2">
        <f t="shared" si="113"/>
        <v>0</v>
      </c>
      <c r="AF84" s="2">
        <f t="shared" si="114"/>
        <v>0</v>
      </c>
      <c r="AG84" s="2">
        <f t="shared" si="87"/>
        <v>0</v>
      </c>
      <c r="AH84" s="2">
        <f t="shared" si="115"/>
        <v>0</v>
      </c>
      <c r="AI84" s="2">
        <f t="shared" si="116"/>
        <v>0</v>
      </c>
      <c r="AJ84" s="2">
        <f t="shared" si="88"/>
        <v>0</v>
      </c>
      <c r="AK84" s="2">
        <v>519.8</v>
      </c>
      <c r="AL84" s="2">
        <v>519.8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112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161</v>
      </c>
      <c r="BK84" s="2"/>
      <c r="BL84" s="2"/>
      <c r="BM84" s="2">
        <v>11001</v>
      </c>
      <c r="BN84" s="2">
        <v>0</v>
      </c>
      <c r="BO84" s="2" t="s">
        <v>3</v>
      </c>
      <c r="BP84" s="2">
        <v>0</v>
      </c>
      <c r="BQ84" s="2">
        <v>2</v>
      </c>
      <c r="BR84" s="2">
        <v>1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112</v>
      </c>
      <c r="CA84" s="2">
        <v>65</v>
      </c>
      <c r="CB84" s="2" t="s">
        <v>3</v>
      </c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89"/>
        <v>-279.25</v>
      </c>
      <c r="CQ84" s="2">
        <f t="shared" si="90"/>
        <v>519.8</v>
      </c>
      <c r="CR84" s="2">
        <f t="shared" si="117"/>
        <v>0</v>
      </c>
      <c r="CS84" s="2">
        <f t="shared" si="91"/>
        <v>0</v>
      </c>
      <c r="CT84" s="2">
        <f t="shared" si="92"/>
        <v>0</v>
      </c>
      <c r="CU84" s="2">
        <f t="shared" si="93"/>
        <v>0</v>
      </c>
      <c r="CV84" s="2">
        <f t="shared" si="94"/>
        <v>0</v>
      </c>
      <c r="CW84" s="2">
        <f t="shared" si="95"/>
        <v>0</v>
      </c>
      <c r="CX84" s="2">
        <f t="shared" si="96"/>
        <v>0</v>
      </c>
      <c r="CY84" s="2">
        <f t="shared" si="97"/>
        <v>0</v>
      </c>
      <c r="CZ84" s="2">
        <f t="shared" si="98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1007</v>
      </c>
      <c r="DV84" s="2" t="s">
        <v>160</v>
      </c>
      <c r="DW84" s="2" t="s">
        <v>160</v>
      </c>
      <c r="DX84" s="2">
        <v>1</v>
      </c>
      <c r="DY84" s="2"/>
      <c r="DZ84" s="2" t="s">
        <v>3</v>
      </c>
      <c r="EA84" s="2" t="s">
        <v>3</v>
      </c>
      <c r="EB84" s="2" t="s">
        <v>3</v>
      </c>
      <c r="EC84" s="2" t="s">
        <v>3</v>
      </c>
      <c r="ED84" s="2"/>
      <c r="EE84" s="2">
        <v>55471663</v>
      </c>
      <c r="EF84" s="2">
        <v>2</v>
      </c>
      <c r="EG84" s="2" t="s">
        <v>60</v>
      </c>
      <c r="EH84" s="2">
        <v>11</v>
      </c>
      <c r="EI84" s="2" t="s">
        <v>28</v>
      </c>
      <c r="EJ84" s="2">
        <v>1</v>
      </c>
      <c r="EK84" s="2">
        <v>11001</v>
      </c>
      <c r="EL84" s="2" t="s">
        <v>28</v>
      </c>
      <c r="EM84" s="2" t="s">
        <v>146</v>
      </c>
      <c r="EN84" s="2"/>
      <c r="EO84" s="2" t="s">
        <v>3</v>
      </c>
      <c r="EP84" s="2"/>
      <c r="EQ84" s="2">
        <v>0</v>
      </c>
      <c r="ER84" s="2">
        <v>519.8</v>
      </c>
      <c r="ES84" s="2">
        <v>519.8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99"/>
        <v>0</v>
      </c>
      <c r="FS84" s="2">
        <v>0</v>
      </c>
      <c r="FT84" s="2"/>
      <c r="FU84" s="2"/>
      <c r="FV84" s="2"/>
      <c r="FW84" s="2"/>
      <c r="FX84" s="2">
        <v>112</v>
      </c>
      <c r="FY84" s="2">
        <v>65</v>
      </c>
      <c r="FZ84" s="2"/>
      <c r="GA84" s="2" t="s">
        <v>3</v>
      </c>
      <c r="GB84" s="2"/>
      <c r="GC84" s="2"/>
      <c r="GD84" s="2">
        <v>1</v>
      </c>
      <c r="GE84" s="2"/>
      <c r="GF84" s="2">
        <v>461598558</v>
      </c>
      <c r="GG84" s="2">
        <v>2</v>
      </c>
      <c r="GH84" s="2">
        <v>1</v>
      </c>
      <c r="GI84" s="2">
        <v>-2</v>
      </c>
      <c r="GJ84" s="2">
        <v>0</v>
      </c>
      <c r="GK84" s="2">
        <v>0</v>
      </c>
      <c r="GL84" s="2">
        <f t="shared" si="100"/>
        <v>0</v>
      </c>
      <c r="GM84" s="2">
        <f t="shared" si="101"/>
        <v>-279.25</v>
      </c>
      <c r="GN84" s="2">
        <f t="shared" si="102"/>
        <v>-279.25</v>
      </c>
      <c r="GO84" s="2">
        <f t="shared" si="103"/>
        <v>0</v>
      </c>
      <c r="GP84" s="2">
        <f t="shared" si="104"/>
        <v>0</v>
      </c>
      <c r="GQ84" s="2"/>
      <c r="GR84" s="2">
        <v>0</v>
      </c>
      <c r="GS84" s="2">
        <v>3</v>
      </c>
      <c r="GT84" s="2">
        <v>0</v>
      </c>
      <c r="GU84" s="2" t="s">
        <v>3</v>
      </c>
      <c r="GV84" s="2">
        <f t="shared" si="105"/>
        <v>0</v>
      </c>
      <c r="GW84" s="2">
        <v>1</v>
      </c>
      <c r="GX84" s="2">
        <f t="shared" si="106"/>
        <v>0</v>
      </c>
      <c r="GY84" s="2"/>
      <c r="GZ84" s="2"/>
      <c r="HA84" s="2">
        <v>0</v>
      </c>
      <c r="HB84" s="2">
        <v>0</v>
      </c>
      <c r="HC84" s="2">
        <f t="shared" si="107"/>
        <v>0</v>
      </c>
      <c r="HD84" s="2"/>
      <c r="HE84" s="2" t="s">
        <v>3</v>
      </c>
      <c r="HF84" s="2" t="s">
        <v>3</v>
      </c>
      <c r="HG84" s="2"/>
      <c r="HH84" s="2"/>
      <c r="HI84" s="2">
        <f t="shared" si="108"/>
        <v>0</v>
      </c>
      <c r="HJ84" s="2">
        <f t="shared" si="109"/>
        <v>0</v>
      </c>
      <c r="HK84" s="2">
        <f t="shared" si="110"/>
        <v>0</v>
      </c>
      <c r="HL84" s="2">
        <f t="shared" si="111"/>
        <v>0</v>
      </c>
      <c r="HM84" s="2" t="s">
        <v>3</v>
      </c>
      <c r="HN84" s="2" t="s">
        <v>147</v>
      </c>
      <c r="HO84" s="2" t="s">
        <v>148</v>
      </c>
      <c r="HP84" s="2" t="s">
        <v>28</v>
      </c>
      <c r="HQ84" s="2" t="s">
        <v>28</v>
      </c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45" ht="12.75">
      <c r="A85">
        <v>18</v>
      </c>
      <c r="B85">
        <v>1</v>
      </c>
      <c r="C85">
        <v>58</v>
      </c>
      <c r="E85" t="s">
        <v>157</v>
      </c>
      <c r="F85" t="s">
        <v>158</v>
      </c>
      <c r="G85" t="s">
        <v>159</v>
      </c>
      <c r="H85" t="s">
        <v>160</v>
      </c>
      <c r="I85">
        <f>I79*J85</f>
        <v>-0.53723</v>
      </c>
      <c r="J85">
        <v>-0.31</v>
      </c>
      <c r="K85">
        <v>-0.31</v>
      </c>
      <c r="O85">
        <f t="shared" si="74"/>
        <v>-279.25</v>
      </c>
      <c r="P85">
        <f t="shared" si="75"/>
        <v>-279.25</v>
      </c>
      <c r="Q85">
        <f t="shared" si="76"/>
        <v>0</v>
      </c>
      <c r="R85">
        <f t="shared" si="77"/>
        <v>0</v>
      </c>
      <c r="S85">
        <f t="shared" si="78"/>
        <v>0</v>
      </c>
      <c r="T85">
        <f t="shared" si="79"/>
        <v>0</v>
      </c>
      <c r="U85">
        <f t="shared" si="80"/>
        <v>0</v>
      </c>
      <c r="V85">
        <f t="shared" si="81"/>
        <v>0</v>
      </c>
      <c r="W85">
        <f t="shared" si="82"/>
        <v>0</v>
      </c>
      <c r="X85">
        <f t="shared" si="83"/>
        <v>0</v>
      </c>
      <c r="Y85">
        <f t="shared" si="84"/>
        <v>0</v>
      </c>
      <c r="AA85">
        <v>55463412</v>
      </c>
      <c r="AB85">
        <f t="shared" si="85"/>
        <v>519.8</v>
      </c>
      <c r="AC85">
        <f t="shared" si="86"/>
        <v>519.8</v>
      </c>
      <c r="AD85">
        <f t="shared" si="112"/>
        <v>0</v>
      </c>
      <c r="AE85">
        <f t="shared" si="113"/>
        <v>0</v>
      </c>
      <c r="AF85">
        <f t="shared" si="114"/>
        <v>0</v>
      </c>
      <c r="AG85">
        <f t="shared" si="87"/>
        <v>0</v>
      </c>
      <c r="AH85">
        <f t="shared" si="115"/>
        <v>0</v>
      </c>
      <c r="AI85">
        <f t="shared" si="116"/>
        <v>0</v>
      </c>
      <c r="AJ85">
        <f t="shared" si="88"/>
        <v>0</v>
      </c>
      <c r="AK85">
        <v>519.8</v>
      </c>
      <c r="AL85">
        <v>519.8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112</v>
      </c>
      <c r="AU85">
        <v>65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161</v>
      </c>
      <c r="BM85">
        <v>11001</v>
      </c>
      <c r="BN85">
        <v>0</v>
      </c>
      <c r="BO85" t="s">
        <v>32</v>
      </c>
      <c r="BP85">
        <v>1</v>
      </c>
      <c r="BQ85">
        <v>2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112</v>
      </c>
      <c r="CA85">
        <v>65</v>
      </c>
      <c r="CE85">
        <v>0</v>
      </c>
      <c r="CF85">
        <v>0</v>
      </c>
      <c r="CG85">
        <v>0</v>
      </c>
      <c r="CM85">
        <v>0</v>
      </c>
      <c r="CO85">
        <v>0</v>
      </c>
      <c r="CP85">
        <f t="shared" si="89"/>
        <v>-279.25</v>
      </c>
      <c r="CQ85">
        <f t="shared" si="90"/>
        <v>519.8</v>
      </c>
      <c r="CR85">
        <f t="shared" si="117"/>
        <v>0</v>
      </c>
      <c r="CS85">
        <f t="shared" si="91"/>
        <v>0</v>
      </c>
      <c r="CT85">
        <f t="shared" si="92"/>
        <v>0</v>
      </c>
      <c r="CU85">
        <f t="shared" si="93"/>
        <v>0</v>
      </c>
      <c r="CV85">
        <f t="shared" si="94"/>
        <v>0</v>
      </c>
      <c r="CW85">
        <f t="shared" si="95"/>
        <v>0</v>
      </c>
      <c r="CX85">
        <f t="shared" si="96"/>
        <v>0</v>
      </c>
      <c r="CY85">
        <f t="shared" si="97"/>
        <v>0</v>
      </c>
      <c r="CZ85">
        <f t="shared" si="98"/>
        <v>0</v>
      </c>
      <c r="DN85">
        <v>0</v>
      </c>
      <c r="DO85">
        <v>0</v>
      </c>
      <c r="DP85">
        <v>1</v>
      </c>
      <c r="DQ85">
        <v>1</v>
      </c>
      <c r="DU85">
        <v>1007</v>
      </c>
      <c r="DV85" t="s">
        <v>160</v>
      </c>
      <c r="DW85" t="s">
        <v>160</v>
      </c>
      <c r="DX85">
        <v>1</v>
      </c>
      <c r="EE85">
        <v>55471663</v>
      </c>
      <c r="EF85">
        <v>2</v>
      </c>
      <c r="EG85" t="s">
        <v>60</v>
      </c>
      <c r="EH85">
        <v>11</v>
      </c>
      <c r="EI85" t="s">
        <v>28</v>
      </c>
      <c r="EJ85">
        <v>1</v>
      </c>
      <c r="EK85">
        <v>11001</v>
      </c>
      <c r="EL85" t="s">
        <v>28</v>
      </c>
      <c r="EM85" t="s">
        <v>146</v>
      </c>
      <c r="EQ85">
        <v>0</v>
      </c>
      <c r="ER85">
        <v>519.8</v>
      </c>
      <c r="ES85">
        <v>519.8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99"/>
        <v>0</v>
      </c>
      <c r="FS85">
        <v>0</v>
      </c>
      <c r="FX85">
        <v>112</v>
      </c>
      <c r="FY85">
        <v>65</v>
      </c>
      <c r="GD85">
        <v>1</v>
      </c>
      <c r="GF85">
        <v>461598558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100"/>
        <v>0</v>
      </c>
      <c r="GM85">
        <f t="shared" si="101"/>
        <v>-279.25</v>
      </c>
      <c r="GN85">
        <f t="shared" si="102"/>
        <v>-279.25</v>
      </c>
      <c r="GO85">
        <f t="shared" si="103"/>
        <v>0</v>
      </c>
      <c r="GP85">
        <f t="shared" si="104"/>
        <v>0</v>
      </c>
      <c r="GR85">
        <v>0</v>
      </c>
      <c r="GS85">
        <v>3</v>
      </c>
      <c r="GT85">
        <v>0</v>
      </c>
      <c r="GV85">
        <f t="shared" si="105"/>
        <v>0</v>
      </c>
      <c r="GW85">
        <v>1</v>
      </c>
      <c r="GX85">
        <f t="shared" si="106"/>
        <v>0</v>
      </c>
      <c r="HA85">
        <v>0</v>
      </c>
      <c r="HB85">
        <v>0</v>
      </c>
      <c r="HC85">
        <f t="shared" si="107"/>
        <v>0</v>
      </c>
      <c r="HI85">
        <f t="shared" si="108"/>
        <v>0</v>
      </c>
      <c r="HJ85">
        <f t="shared" si="109"/>
        <v>0</v>
      </c>
      <c r="HK85">
        <f t="shared" si="110"/>
        <v>0</v>
      </c>
      <c r="HL85">
        <f t="shared" si="111"/>
        <v>0</v>
      </c>
      <c r="HN85" t="s">
        <v>147</v>
      </c>
      <c r="HO85" t="s">
        <v>148</v>
      </c>
      <c r="HP85" t="s">
        <v>28</v>
      </c>
      <c r="HQ85" t="s">
        <v>28</v>
      </c>
      <c r="IK85">
        <v>0</v>
      </c>
    </row>
    <row r="86" spans="1:255" ht="12.75">
      <c r="A86" s="2">
        <v>18</v>
      </c>
      <c r="B86" s="2">
        <v>1</v>
      </c>
      <c r="C86" s="2">
        <v>44</v>
      </c>
      <c r="D86" s="2"/>
      <c r="E86" s="2" t="s">
        <v>162</v>
      </c>
      <c r="F86" s="2" t="s">
        <v>163</v>
      </c>
      <c r="G86" s="2" t="s">
        <v>164</v>
      </c>
      <c r="H86" s="2" t="s">
        <v>165</v>
      </c>
      <c r="I86" s="2">
        <f>I78*J86</f>
        <v>-194.096</v>
      </c>
      <c r="J86" s="2">
        <v>-112</v>
      </c>
      <c r="K86" s="2">
        <v>-112</v>
      </c>
      <c r="L86" s="2"/>
      <c r="M86" s="2"/>
      <c r="N86" s="2"/>
      <c r="O86" s="2">
        <f t="shared" si="74"/>
        <v>-1203.4</v>
      </c>
      <c r="P86" s="2">
        <f t="shared" si="75"/>
        <v>-1203.4</v>
      </c>
      <c r="Q86" s="2">
        <f t="shared" si="76"/>
        <v>0</v>
      </c>
      <c r="R86" s="2">
        <f t="shared" si="77"/>
        <v>0</v>
      </c>
      <c r="S86" s="2">
        <f t="shared" si="78"/>
        <v>0</v>
      </c>
      <c r="T86" s="2">
        <f t="shared" si="79"/>
        <v>0</v>
      </c>
      <c r="U86" s="2">
        <f t="shared" si="80"/>
        <v>0</v>
      </c>
      <c r="V86" s="2">
        <f t="shared" si="81"/>
        <v>0</v>
      </c>
      <c r="W86" s="2">
        <f t="shared" si="82"/>
        <v>0</v>
      </c>
      <c r="X86" s="2">
        <f t="shared" si="83"/>
        <v>0</v>
      </c>
      <c r="Y86" s="2">
        <f t="shared" si="84"/>
        <v>0</v>
      </c>
      <c r="Z86" s="2"/>
      <c r="AA86" s="2">
        <v>55463411</v>
      </c>
      <c r="AB86" s="2">
        <f t="shared" si="85"/>
        <v>6.2</v>
      </c>
      <c r="AC86" s="2">
        <f t="shared" si="86"/>
        <v>6.2</v>
      </c>
      <c r="AD86" s="2">
        <f t="shared" si="112"/>
        <v>0</v>
      </c>
      <c r="AE86" s="2">
        <f t="shared" si="113"/>
        <v>0</v>
      </c>
      <c r="AF86" s="2">
        <f t="shared" si="114"/>
        <v>0</v>
      </c>
      <c r="AG86" s="2">
        <f t="shared" si="87"/>
        <v>0</v>
      </c>
      <c r="AH86" s="2">
        <f t="shared" si="115"/>
        <v>0</v>
      </c>
      <c r="AI86" s="2">
        <f t="shared" si="116"/>
        <v>0</v>
      </c>
      <c r="AJ86" s="2">
        <f t="shared" si="88"/>
        <v>0</v>
      </c>
      <c r="AK86" s="2">
        <v>6.2</v>
      </c>
      <c r="AL86" s="2">
        <v>6.2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112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166</v>
      </c>
      <c r="BK86" s="2"/>
      <c r="BL86" s="2"/>
      <c r="BM86" s="2">
        <v>11001</v>
      </c>
      <c r="BN86" s="2">
        <v>0</v>
      </c>
      <c r="BO86" s="2" t="s">
        <v>3</v>
      </c>
      <c r="BP86" s="2">
        <v>0</v>
      </c>
      <c r="BQ86" s="2">
        <v>2</v>
      </c>
      <c r="BR86" s="2">
        <v>1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112</v>
      </c>
      <c r="CA86" s="2">
        <v>65</v>
      </c>
      <c r="CB86" s="2" t="s">
        <v>3</v>
      </c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89"/>
        <v>-1203.4</v>
      </c>
      <c r="CQ86" s="2">
        <f t="shared" si="90"/>
        <v>6.2</v>
      </c>
      <c r="CR86" s="2">
        <f t="shared" si="117"/>
        <v>0</v>
      </c>
      <c r="CS86" s="2">
        <f t="shared" si="91"/>
        <v>0</v>
      </c>
      <c r="CT86" s="2">
        <f t="shared" si="92"/>
        <v>0</v>
      </c>
      <c r="CU86" s="2">
        <f t="shared" si="93"/>
        <v>0</v>
      </c>
      <c r="CV86" s="2">
        <f t="shared" si="94"/>
        <v>0</v>
      </c>
      <c r="CW86" s="2">
        <f t="shared" si="95"/>
        <v>0</v>
      </c>
      <c r="CX86" s="2">
        <f t="shared" si="96"/>
        <v>0</v>
      </c>
      <c r="CY86" s="2">
        <f t="shared" si="97"/>
        <v>0</v>
      </c>
      <c r="CZ86" s="2">
        <f t="shared" si="98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1005</v>
      </c>
      <c r="DV86" s="2" t="s">
        <v>165</v>
      </c>
      <c r="DW86" s="2" t="s">
        <v>165</v>
      </c>
      <c r="DX86" s="2">
        <v>1</v>
      </c>
      <c r="DY86" s="2"/>
      <c r="DZ86" s="2" t="s">
        <v>3</v>
      </c>
      <c r="EA86" s="2" t="s">
        <v>3</v>
      </c>
      <c r="EB86" s="2" t="s">
        <v>3</v>
      </c>
      <c r="EC86" s="2" t="s">
        <v>3</v>
      </c>
      <c r="ED86" s="2"/>
      <c r="EE86" s="2">
        <v>55471663</v>
      </c>
      <c r="EF86" s="2">
        <v>2</v>
      </c>
      <c r="EG86" s="2" t="s">
        <v>60</v>
      </c>
      <c r="EH86" s="2">
        <v>11</v>
      </c>
      <c r="EI86" s="2" t="s">
        <v>28</v>
      </c>
      <c r="EJ86" s="2">
        <v>1</v>
      </c>
      <c r="EK86" s="2">
        <v>11001</v>
      </c>
      <c r="EL86" s="2" t="s">
        <v>28</v>
      </c>
      <c r="EM86" s="2" t="s">
        <v>146</v>
      </c>
      <c r="EN86" s="2"/>
      <c r="EO86" s="2" t="s">
        <v>3</v>
      </c>
      <c r="EP86" s="2"/>
      <c r="EQ86" s="2">
        <v>0</v>
      </c>
      <c r="ER86" s="2">
        <v>6.2</v>
      </c>
      <c r="ES86" s="2">
        <v>6.2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99"/>
        <v>0</v>
      </c>
      <c r="FS86" s="2">
        <v>0</v>
      </c>
      <c r="FT86" s="2"/>
      <c r="FU86" s="2"/>
      <c r="FV86" s="2"/>
      <c r="FW86" s="2"/>
      <c r="FX86" s="2">
        <v>112</v>
      </c>
      <c r="FY86" s="2">
        <v>65</v>
      </c>
      <c r="FZ86" s="2"/>
      <c r="GA86" s="2" t="s">
        <v>3</v>
      </c>
      <c r="GB86" s="2"/>
      <c r="GC86" s="2"/>
      <c r="GD86" s="2">
        <v>1</v>
      </c>
      <c r="GE86" s="2"/>
      <c r="GF86" s="2">
        <v>1282098800</v>
      </c>
      <c r="GG86" s="2">
        <v>2</v>
      </c>
      <c r="GH86" s="2">
        <v>1</v>
      </c>
      <c r="GI86" s="2">
        <v>-2</v>
      </c>
      <c r="GJ86" s="2">
        <v>0</v>
      </c>
      <c r="GK86" s="2">
        <v>0</v>
      </c>
      <c r="GL86" s="2">
        <f t="shared" si="100"/>
        <v>0</v>
      </c>
      <c r="GM86" s="2">
        <f t="shared" si="101"/>
        <v>-1203.4</v>
      </c>
      <c r="GN86" s="2">
        <f t="shared" si="102"/>
        <v>-1203.4</v>
      </c>
      <c r="GO86" s="2">
        <f t="shared" si="103"/>
        <v>0</v>
      </c>
      <c r="GP86" s="2">
        <f t="shared" si="104"/>
        <v>0</v>
      </c>
      <c r="GQ86" s="2"/>
      <c r="GR86" s="2">
        <v>0</v>
      </c>
      <c r="GS86" s="2">
        <v>3</v>
      </c>
      <c r="GT86" s="2">
        <v>0</v>
      </c>
      <c r="GU86" s="2" t="s">
        <v>3</v>
      </c>
      <c r="GV86" s="2">
        <f t="shared" si="105"/>
        <v>0</v>
      </c>
      <c r="GW86" s="2">
        <v>1</v>
      </c>
      <c r="GX86" s="2">
        <f t="shared" si="106"/>
        <v>0</v>
      </c>
      <c r="GY86" s="2"/>
      <c r="GZ86" s="2"/>
      <c r="HA86" s="2">
        <v>0</v>
      </c>
      <c r="HB86" s="2">
        <v>0</v>
      </c>
      <c r="HC86" s="2">
        <f t="shared" si="107"/>
        <v>0</v>
      </c>
      <c r="HD86" s="2"/>
      <c r="HE86" s="2" t="s">
        <v>3</v>
      </c>
      <c r="HF86" s="2" t="s">
        <v>3</v>
      </c>
      <c r="HG86" s="2"/>
      <c r="HH86" s="2"/>
      <c r="HI86" s="2">
        <f t="shared" si="108"/>
        <v>0</v>
      </c>
      <c r="HJ86" s="2">
        <f t="shared" si="109"/>
        <v>0</v>
      </c>
      <c r="HK86" s="2">
        <f t="shared" si="110"/>
        <v>0</v>
      </c>
      <c r="HL86" s="2">
        <f t="shared" si="111"/>
        <v>0</v>
      </c>
      <c r="HM86" s="2" t="s">
        <v>3</v>
      </c>
      <c r="HN86" s="2" t="s">
        <v>147</v>
      </c>
      <c r="HO86" s="2" t="s">
        <v>148</v>
      </c>
      <c r="HP86" s="2" t="s">
        <v>28</v>
      </c>
      <c r="HQ86" s="2" t="s">
        <v>28</v>
      </c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45" ht="12.75">
      <c r="A87">
        <v>18</v>
      </c>
      <c r="B87">
        <v>1</v>
      </c>
      <c r="C87">
        <v>59</v>
      </c>
      <c r="E87" t="s">
        <v>162</v>
      </c>
      <c r="F87" t="s">
        <v>163</v>
      </c>
      <c r="G87" t="s">
        <v>164</v>
      </c>
      <c r="H87" t="s">
        <v>165</v>
      </c>
      <c r="I87">
        <f>I79*J87</f>
        <v>-194.096</v>
      </c>
      <c r="J87">
        <v>-112</v>
      </c>
      <c r="K87">
        <v>-112</v>
      </c>
      <c r="O87">
        <f t="shared" si="74"/>
        <v>-1203.4</v>
      </c>
      <c r="P87">
        <f t="shared" si="75"/>
        <v>-1203.4</v>
      </c>
      <c r="Q87">
        <f t="shared" si="76"/>
        <v>0</v>
      </c>
      <c r="R87">
        <f t="shared" si="77"/>
        <v>0</v>
      </c>
      <c r="S87">
        <f t="shared" si="78"/>
        <v>0</v>
      </c>
      <c r="T87">
        <f t="shared" si="79"/>
        <v>0</v>
      </c>
      <c r="U87">
        <f t="shared" si="80"/>
        <v>0</v>
      </c>
      <c r="V87">
        <f t="shared" si="81"/>
        <v>0</v>
      </c>
      <c r="W87">
        <f t="shared" si="82"/>
        <v>0</v>
      </c>
      <c r="X87">
        <f t="shared" si="83"/>
        <v>0</v>
      </c>
      <c r="Y87">
        <f t="shared" si="84"/>
        <v>0</v>
      </c>
      <c r="AA87">
        <v>55463412</v>
      </c>
      <c r="AB87">
        <f t="shared" si="85"/>
        <v>6.2</v>
      </c>
      <c r="AC87">
        <f t="shared" si="86"/>
        <v>6.2</v>
      </c>
      <c r="AD87">
        <f t="shared" si="112"/>
        <v>0</v>
      </c>
      <c r="AE87">
        <f t="shared" si="113"/>
        <v>0</v>
      </c>
      <c r="AF87">
        <f t="shared" si="114"/>
        <v>0</v>
      </c>
      <c r="AG87">
        <f t="shared" si="87"/>
        <v>0</v>
      </c>
      <c r="AH87">
        <f t="shared" si="115"/>
        <v>0</v>
      </c>
      <c r="AI87">
        <f t="shared" si="116"/>
        <v>0</v>
      </c>
      <c r="AJ87">
        <f t="shared" si="88"/>
        <v>0</v>
      </c>
      <c r="AK87">
        <v>6.2</v>
      </c>
      <c r="AL87">
        <v>6.2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112</v>
      </c>
      <c r="AU87">
        <v>65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1</v>
      </c>
      <c r="BJ87" t="s">
        <v>166</v>
      </c>
      <c r="BM87">
        <v>11001</v>
      </c>
      <c r="BN87">
        <v>0</v>
      </c>
      <c r="BO87" t="s">
        <v>32</v>
      </c>
      <c r="BP87">
        <v>1</v>
      </c>
      <c r="BQ87">
        <v>2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112</v>
      </c>
      <c r="CA87">
        <v>65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9"/>
        <v>-1203.4</v>
      </c>
      <c r="CQ87">
        <f t="shared" si="90"/>
        <v>6.2</v>
      </c>
      <c r="CR87">
        <f t="shared" si="117"/>
        <v>0</v>
      </c>
      <c r="CS87">
        <f t="shared" si="91"/>
        <v>0</v>
      </c>
      <c r="CT87">
        <f t="shared" si="92"/>
        <v>0</v>
      </c>
      <c r="CU87">
        <f t="shared" si="93"/>
        <v>0</v>
      </c>
      <c r="CV87">
        <f t="shared" si="94"/>
        <v>0</v>
      </c>
      <c r="CW87">
        <f t="shared" si="95"/>
        <v>0</v>
      </c>
      <c r="CX87">
        <f t="shared" si="96"/>
        <v>0</v>
      </c>
      <c r="CY87">
        <f t="shared" si="97"/>
        <v>0</v>
      </c>
      <c r="CZ87">
        <f t="shared" si="98"/>
        <v>0</v>
      </c>
      <c r="DN87">
        <v>0</v>
      </c>
      <c r="DO87">
        <v>0</v>
      </c>
      <c r="DP87">
        <v>1</v>
      </c>
      <c r="DQ87">
        <v>1</v>
      </c>
      <c r="DU87">
        <v>1005</v>
      </c>
      <c r="DV87" t="s">
        <v>165</v>
      </c>
      <c r="DW87" t="s">
        <v>165</v>
      </c>
      <c r="DX87">
        <v>1</v>
      </c>
      <c r="EE87">
        <v>55471663</v>
      </c>
      <c r="EF87">
        <v>2</v>
      </c>
      <c r="EG87" t="s">
        <v>60</v>
      </c>
      <c r="EH87">
        <v>11</v>
      </c>
      <c r="EI87" t="s">
        <v>28</v>
      </c>
      <c r="EJ87">
        <v>1</v>
      </c>
      <c r="EK87">
        <v>11001</v>
      </c>
      <c r="EL87" t="s">
        <v>28</v>
      </c>
      <c r="EM87" t="s">
        <v>146</v>
      </c>
      <c r="EQ87">
        <v>0</v>
      </c>
      <c r="ER87">
        <v>6.2</v>
      </c>
      <c r="ES87">
        <v>6.2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9"/>
        <v>0</v>
      </c>
      <c r="FS87">
        <v>0</v>
      </c>
      <c r="FX87">
        <v>112</v>
      </c>
      <c r="FY87">
        <v>65</v>
      </c>
      <c r="GD87">
        <v>1</v>
      </c>
      <c r="GF87">
        <v>1282098800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100"/>
        <v>0</v>
      </c>
      <c r="GM87">
        <f t="shared" si="101"/>
        <v>-1203.4</v>
      </c>
      <c r="GN87">
        <f t="shared" si="102"/>
        <v>-1203.4</v>
      </c>
      <c r="GO87">
        <f t="shared" si="103"/>
        <v>0</v>
      </c>
      <c r="GP87">
        <f t="shared" si="104"/>
        <v>0</v>
      </c>
      <c r="GR87">
        <v>0</v>
      </c>
      <c r="GS87">
        <v>3</v>
      </c>
      <c r="GT87">
        <v>0</v>
      </c>
      <c r="GV87">
        <f t="shared" si="105"/>
        <v>0</v>
      </c>
      <c r="GW87">
        <v>1</v>
      </c>
      <c r="GX87">
        <f t="shared" si="106"/>
        <v>0</v>
      </c>
      <c r="HA87">
        <v>0</v>
      </c>
      <c r="HB87">
        <v>0</v>
      </c>
      <c r="HC87">
        <f t="shared" si="107"/>
        <v>0</v>
      </c>
      <c r="HI87">
        <f t="shared" si="108"/>
        <v>0</v>
      </c>
      <c r="HJ87">
        <f t="shared" si="109"/>
        <v>0</v>
      </c>
      <c r="HK87">
        <f t="shared" si="110"/>
        <v>0</v>
      </c>
      <c r="HL87">
        <f t="shared" si="111"/>
        <v>0</v>
      </c>
      <c r="HN87" t="s">
        <v>147</v>
      </c>
      <c r="HO87" t="s">
        <v>148</v>
      </c>
      <c r="HP87" t="s">
        <v>28</v>
      </c>
      <c r="HQ87" t="s">
        <v>28</v>
      </c>
      <c r="IK87">
        <v>0</v>
      </c>
    </row>
    <row r="88" spans="1:255" ht="12.75">
      <c r="A88" s="2">
        <v>18</v>
      </c>
      <c r="B88" s="2">
        <v>1</v>
      </c>
      <c r="C88" s="2">
        <v>45</v>
      </c>
      <c r="D88" s="2"/>
      <c r="E88" s="2" t="s">
        <v>167</v>
      </c>
      <c r="F88" s="2" t="s">
        <v>168</v>
      </c>
      <c r="G88" s="2" t="s">
        <v>169</v>
      </c>
      <c r="H88" s="2" t="s">
        <v>36</v>
      </c>
      <c r="I88" s="2">
        <f>I78*J88</f>
        <v>-0.010398</v>
      </c>
      <c r="J88" s="2">
        <v>-0.005999999999999999</v>
      </c>
      <c r="K88" s="2">
        <v>-0.006</v>
      </c>
      <c r="L88" s="2"/>
      <c r="M88" s="2"/>
      <c r="N88" s="2"/>
      <c r="O88" s="2">
        <f t="shared" si="74"/>
        <v>-512.04</v>
      </c>
      <c r="P88" s="2">
        <f t="shared" si="75"/>
        <v>-512.04</v>
      </c>
      <c r="Q88" s="2">
        <f t="shared" si="76"/>
        <v>0</v>
      </c>
      <c r="R88" s="2">
        <f t="shared" si="77"/>
        <v>0</v>
      </c>
      <c r="S88" s="2">
        <f t="shared" si="78"/>
        <v>0</v>
      </c>
      <c r="T88" s="2">
        <f t="shared" si="79"/>
        <v>0</v>
      </c>
      <c r="U88" s="2">
        <f t="shared" si="80"/>
        <v>0</v>
      </c>
      <c r="V88" s="2">
        <f t="shared" si="81"/>
        <v>0</v>
      </c>
      <c r="W88" s="2">
        <f t="shared" si="82"/>
        <v>0</v>
      </c>
      <c r="X88" s="2">
        <f t="shared" si="83"/>
        <v>0</v>
      </c>
      <c r="Y88" s="2">
        <f t="shared" si="84"/>
        <v>0</v>
      </c>
      <c r="Z88" s="2"/>
      <c r="AA88" s="2">
        <v>55463411</v>
      </c>
      <c r="AB88" s="2">
        <f t="shared" si="85"/>
        <v>49244</v>
      </c>
      <c r="AC88" s="2">
        <f t="shared" si="86"/>
        <v>49244</v>
      </c>
      <c r="AD88" s="2">
        <f t="shared" si="112"/>
        <v>0</v>
      </c>
      <c r="AE88" s="2">
        <f t="shared" si="113"/>
        <v>0</v>
      </c>
      <c r="AF88" s="2">
        <f t="shared" si="114"/>
        <v>0</v>
      </c>
      <c r="AG88" s="2">
        <f t="shared" si="87"/>
        <v>0</v>
      </c>
      <c r="AH88" s="2">
        <f t="shared" si="115"/>
        <v>0</v>
      </c>
      <c r="AI88" s="2">
        <f t="shared" si="116"/>
        <v>0</v>
      </c>
      <c r="AJ88" s="2">
        <f t="shared" si="88"/>
        <v>0</v>
      </c>
      <c r="AK88" s="2">
        <v>49244</v>
      </c>
      <c r="AL88" s="2">
        <v>49244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112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170</v>
      </c>
      <c r="BK88" s="2"/>
      <c r="BL88" s="2"/>
      <c r="BM88" s="2">
        <v>11001</v>
      </c>
      <c r="BN88" s="2">
        <v>0</v>
      </c>
      <c r="BO88" s="2" t="s">
        <v>3</v>
      </c>
      <c r="BP88" s="2">
        <v>0</v>
      </c>
      <c r="BQ88" s="2">
        <v>2</v>
      </c>
      <c r="BR88" s="2">
        <v>1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112</v>
      </c>
      <c r="CA88" s="2">
        <v>65</v>
      </c>
      <c r="CB88" s="2" t="s">
        <v>3</v>
      </c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si="89"/>
        <v>-512.04</v>
      </c>
      <c r="CQ88" s="2">
        <f t="shared" si="90"/>
        <v>49244</v>
      </c>
      <c r="CR88" s="2">
        <f t="shared" si="117"/>
        <v>0</v>
      </c>
      <c r="CS88" s="2">
        <f t="shared" si="91"/>
        <v>0</v>
      </c>
      <c r="CT88" s="2">
        <f t="shared" si="92"/>
        <v>0</v>
      </c>
      <c r="CU88" s="2">
        <f t="shared" si="93"/>
        <v>0</v>
      </c>
      <c r="CV88" s="2">
        <f t="shared" si="94"/>
        <v>0</v>
      </c>
      <c r="CW88" s="2">
        <f t="shared" si="95"/>
        <v>0</v>
      </c>
      <c r="CX88" s="2">
        <f t="shared" si="96"/>
        <v>0</v>
      </c>
      <c r="CY88" s="2">
        <f t="shared" si="97"/>
        <v>0</v>
      </c>
      <c r="CZ88" s="2">
        <f t="shared" si="98"/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36</v>
      </c>
      <c r="DW88" s="2" t="s">
        <v>36</v>
      </c>
      <c r="DX88" s="2">
        <v>1000</v>
      </c>
      <c r="DY88" s="2"/>
      <c r="DZ88" s="2" t="s">
        <v>3</v>
      </c>
      <c r="EA88" s="2" t="s">
        <v>3</v>
      </c>
      <c r="EB88" s="2" t="s">
        <v>3</v>
      </c>
      <c r="EC88" s="2" t="s">
        <v>3</v>
      </c>
      <c r="ED88" s="2"/>
      <c r="EE88" s="2">
        <v>55471663</v>
      </c>
      <c r="EF88" s="2">
        <v>2</v>
      </c>
      <c r="EG88" s="2" t="s">
        <v>60</v>
      </c>
      <c r="EH88" s="2">
        <v>11</v>
      </c>
      <c r="EI88" s="2" t="s">
        <v>28</v>
      </c>
      <c r="EJ88" s="2">
        <v>1</v>
      </c>
      <c r="EK88" s="2">
        <v>11001</v>
      </c>
      <c r="EL88" s="2" t="s">
        <v>28</v>
      </c>
      <c r="EM88" s="2" t="s">
        <v>146</v>
      </c>
      <c r="EN88" s="2"/>
      <c r="EO88" s="2" t="s">
        <v>3</v>
      </c>
      <c r="EP88" s="2"/>
      <c r="EQ88" s="2">
        <v>0</v>
      </c>
      <c r="ER88" s="2">
        <v>49244</v>
      </c>
      <c r="ES88" s="2">
        <v>49244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99"/>
        <v>0</v>
      </c>
      <c r="FS88" s="2">
        <v>0</v>
      </c>
      <c r="FT88" s="2"/>
      <c r="FU88" s="2"/>
      <c r="FV88" s="2"/>
      <c r="FW88" s="2"/>
      <c r="FX88" s="2">
        <v>112</v>
      </c>
      <c r="FY88" s="2">
        <v>65</v>
      </c>
      <c r="FZ88" s="2"/>
      <c r="GA88" s="2" t="s">
        <v>3</v>
      </c>
      <c r="GB88" s="2"/>
      <c r="GC88" s="2"/>
      <c r="GD88" s="2">
        <v>1</v>
      </c>
      <c r="GE88" s="2"/>
      <c r="GF88" s="2">
        <v>-1414927724</v>
      </c>
      <c r="GG88" s="2">
        <v>2</v>
      </c>
      <c r="GH88" s="2">
        <v>1</v>
      </c>
      <c r="GI88" s="2">
        <v>-2</v>
      </c>
      <c r="GJ88" s="2">
        <v>0</v>
      </c>
      <c r="GK88" s="2">
        <v>0</v>
      </c>
      <c r="GL88" s="2">
        <f t="shared" si="100"/>
        <v>0</v>
      </c>
      <c r="GM88" s="2">
        <f t="shared" si="101"/>
        <v>-512.04</v>
      </c>
      <c r="GN88" s="2">
        <f t="shared" si="102"/>
        <v>-512.04</v>
      </c>
      <c r="GO88" s="2">
        <f t="shared" si="103"/>
        <v>0</v>
      </c>
      <c r="GP88" s="2">
        <f t="shared" si="104"/>
        <v>0</v>
      </c>
      <c r="GQ88" s="2"/>
      <c r="GR88" s="2">
        <v>0</v>
      </c>
      <c r="GS88" s="2">
        <v>3</v>
      </c>
      <c r="GT88" s="2">
        <v>0</v>
      </c>
      <c r="GU88" s="2" t="s">
        <v>3</v>
      </c>
      <c r="GV88" s="2">
        <f t="shared" si="105"/>
        <v>0</v>
      </c>
      <c r="GW88" s="2">
        <v>1</v>
      </c>
      <c r="GX88" s="2">
        <f t="shared" si="106"/>
        <v>0</v>
      </c>
      <c r="GY88" s="2"/>
      <c r="GZ88" s="2"/>
      <c r="HA88" s="2">
        <v>0</v>
      </c>
      <c r="HB88" s="2">
        <v>0</v>
      </c>
      <c r="HC88" s="2">
        <f t="shared" si="107"/>
        <v>0</v>
      </c>
      <c r="HD88" s="2"/>
      <c r="HE88" s="2" t="s">
        <v>3</v>
      </c>
      <c r="HF88" s="2" t="s">
        <v>3</v>
      </c>
      <c r="HG88" s="2"/>
      <c r="HH88" s="2"/>
      <c r="HI88" s="2">
        <f t="shared" si="108"/>
        <v>0</v>
      </c>
      <c r="HJ88" s="2">
        <f t="shared" si="109"/>
        <v>0</v>
      </c>
      <c r="HK88" s="2">
        <f t="shared" si="110"/>
        <v>0</v>
      </c>
      <c r="HL88" s="2">
        <f t="shared" si="111"/>
        <v>0</v>
      </c>
      <c r="HM88" s="2" t="s">
        <v>3</v>
      </c>
      <c r="HN88" s="2" t="s">
        <v>147</v>
      </c>
      <c r="HO88" s="2" t="s">
        <v>148</v>
      </c>
      <c r="HP88" s="2" t="s">
        <v>28</v>
      </c>
      <c r="HQ88" s="2" t="s">
        <v>28</v>
      </c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45" ht="12.75">
      <c r="A89">
        <v>18</v>
      </c>
      <c r="B89">
        <v>1</v>
      </c>
      <c r="C89">
        <v>60</v>
      </c>
      <c r="E89" t="s">
        <v>167</v>
      </c>
      <c r="F89" t="s">
        <v>168</v>
      </c>
      <c r="G89" t="s">
        <v>169</v>
      </c>
      <c r="H89" t="s">
        <v>36</v>
      </c>
      <c r="I89">
        <f>I79*J89</f>
        <v>-0.010398</v>
      </c>
      <c r="J89">
        <v>-0.005999999999999999</v>
      </c>
      <c r="K89">
        <v>-0.006</v>
      </c>
      <c r="O89">
        <f t="shared" si="74"/>
        <v>-512.04</v>
      </c>
      <c r="P89">
        <f t="shared" si="75"/>
        <v>-512.04</v>
      </c>
      <c r="Q89">
        <f t="shared" si="76"/>
        <v>0</v>
      </c>
      <c r="R89">
        <f t="shared" si="77"/>
        <v>0</v>
      </c>
      <c r="S89">
        <f t="shared" si="78"/>
        <v>0</v>
      </c>
      <c r="T89">
        <f t="shared" si="79"/>
        <v>0</v>
      </c>
      <c r="U89">
        <f t="shared" si="80"/>
        <v>0</v>
      </c>
      <c r="V89">
        <f t="shared" si="81"/>
        <v>0</v>
      </c>
      <c r="W89">
        <f t="shared" si="82"/>
        <v>0</v>
      </c>
      <c r="X89">
        <f t="shared" si="83"/>
        <v>0</v>
      </c>
      <c r="Y89">
        <f t="shared" si="84"/>
        <v>0</v>
      </c>
      <c r="AA89">
        <v>55463412</v>
      </c>
      <c r="AB89">
        <f t="shared" si="85"/>
        <v>49244</v>
      </c>
      <c r="AC89">
        <f t="shared" si="86"/>
        <v>49244</v>
      </c>
      <c r="AD89">
        <f t="shared" si="112"/>
        <v>0</v>
      </c>
      <c r="AE89">
        <f t="shared" si="113"/>
        <v>0</v>
      </c>
      <c r="AF89">
        <f t="shared" si="114"/>
        <v>0</v>
      </c>
      <c r="AG89">
        <f t="shared" si="87"/>
        <v>0</v>
      </c>
      <c r="AH89">
        <f t="shared" si="115"/>
        <v>0</v>
      </c>
      <c r="AI89">
        <f t="shared" si="116"/>
        <v>0</v>
      </c>
      <c r="AJ89">
        <f t="shared" si="88"/>
        <v>0</v>
      </c>
      <c r="AK89">
        <v>49244</v>
      </c>
      <c r="AL89">
        <v>49244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112</v>
      </c>
      <c r="AU89">
        <v>65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1</v>
      </c>
      <c r="BJ89" t="s">
        <v>170</v>
      </c>
      <c r="BM89">
        <v>11001</v>
      </c>
      <c r="BN89">
        <v>0</v>
      </c>
      <c r="BO89" t="s">
        <v>32</v>
      </c>
      <c r="BP89">
        <v>1</v>
      </c>
      <c r="BQ89">
        <v>2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112</v>
      </c>
      <c r="CA89">
        <v>65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9"/>
        <v>-512.04</v>
      </c>
      <c r="CQ89">
        <f t="shared" si="90"/>
        <v>49244</v>
      </c>
      <c r="CR89">
        <f t="shared" si="117"/>
        <v>0</v>
      </c>
      <c r="CS89">
        <f t="shared" si="91"/>
        <v>0</v>
      </c>
      <c r="CT89">
        <f t="shared" si="92"/>
        <v>0</v>
      </c>
      <c r="CU89">
        <f t="shared" si="93"/>
        <v>0</v>
      </c>
      <c r="CV89">
        <f t="shared" si="94"/>
        <v>0</v>
      </c>
      <c r="CW89">
        <f t="shared" si="95"/>
        <v>0</v>
      </c>
      <c r="CX89">
        <f t="shared" si="96"/>
        <v>0</v>
      </c>
      <c r="CY89">
        <f t="shared" si="97"/>
        <v>0</v>
      </c>
      <c r="CZ89">
        <f t="shared" si="98"/>
        <v>0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36</v>
      </c>
      <c r="DW89" t="s">
        <v>36</v>
      </c>
      <c r="DX89">
        <v>1000</v>
      </c>
      <c r="EE89">
        <v>55471663</v>
      </c>
      <c r="EF89">
        <v>2</v>
      </c>
      <c r="EG89" t="s">
        <v>60</v>
      </c>
      <c r="EH89">
        <v>11</v>
      </c>
      <c r="EI89" t="s">
        <v>28</v>
      </c>
      <c r="EJ89">
        <v>1</v>
      </c>
      <c r="EK89">
        <v>11001</v>
      </c>
      <c r="EL89" t="s">
        <v>28</v>
      </c>
      <c r="EM89" t="s">
        <v>146</v>
      </c>
      <c r="EQ89">
        <v>0</v>
      </c>
      <c r="ER89">
        <v>49244</v>
      </c>
      <c r="ES89">
        <v>49244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9"/>
        <v>0</v>
      </c>
      <c r="FS89">
        <v>0</v>
      </c>
      <c r="FX89">
        <v>112</v>
      </c>
      <c r="FY89">
        <v>65</v>
      </c>
      <c r="GD89">
        <v>1</v>
      </c>
      <c r="GF89">
        <v>-1414927724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100"/>
        <v>0</v>
      </c>
      <c r="GM89">
        <f t="shared" si="101"/>
        <v>-512.04</v>
      </c>
      <c r="GN89">
        <f t="shared" si="102"/>
        <v>-512.04</v>
      </c>
      <c r="GO89">
        <f t="shared" si="103"/>
        <v>0</v>
      </c>
      <c r="GP89">
        <f t="shared" si="104"/>
        <v>0</v>
      </c>
      <c r="GR89">
        <v>0</v>
      </c>
      <c r="GS89">
        <v>3</v>
      </c>
      <c r="GT89">
        <v>0</v>
      </c>
      <c r="GV89">
        <f t="shared" si="105"/>
        <v>0</v>
      </c>
      <c r="GW89">
        <v>1</v>
      </c>
      <c r="GX89">
        <f t="shared" si="106"/>
        <v>0</v>
      </c>
      <c r="HA89">
        <v>0</v>
      </c>
      <c r="HB89">
        <v>0</v>
      </c>
      <c r="HC89">
        <f t="shared" si="107"/>
        <v>0</v>
      </c>
      <c r="HI89">
        <f t="shared" si="108"/>
        <v>0</v>
      </c>
      <c r="HJ89">
        <f t="shared" si="109"/>
        <v>0</v>
      </c>
      <c r="HK89">
        <f t="shared" si="110"/>
        <v>0</v>
      </c>
      <c r="HL89">
        <f t="shared" si="111"/>
        <v>0</v>
      </c>
      <c r="HN89" t="s">
        <v>147</v>
      </c>
      <c r="HO89" t="s">
        <v>148</v>
      </c>
      <c r="HP89" t="s">
        <v>28</v>
      </c>
      <c r="HQ89" t="s">
        <v>28</v>
      </c>
      <c r="IK89">
        <v>0</v>
      </c>
    </row>
    <row r="90" spans="1:255" ht="12.75">
      <c r="A90" s="2">
        <v>18</v>
      </c>
      <c r="B90" s="2">
        <v>1</v>
      </c>
      <c r="C90" s="2">
        <v>46</v>
      </c>
      <c r="D90" s="2"/>
      <c r="E90" s="2" t="s">
        <v>171</v>
      </c>
      <c r="F90" s="2" t="s">
        <v>172</v>
      </c>
      <c r="G90" s="2" t="s">
        <v>173</v>
      </c>
      <c r="H90" s="2" t="s">
        <v>36</v>
      </c>
      <c r="I90" s="2">
        <f>I78*J90</f>
        <v>-0.08665</v>
      </c>
      <c r="J90" s="2">
        <v>-0.05</v>
      </c>
      <c r="K90" s="2">
        <v>-0.05</v>
      </c>
      <c r="L90" s="2"/>
      <c r="M90" s="2"/>
      <c r="N90" s="2"/>
      <c r="O90" s="2">
        <f t="shared" si="74"/>
        <v>-786.25</v>
      </c>
      <c r="P90" s="2">
        <f t="shared" si="75"/>
        <v>-786.25</v>
      </c>
      <c r="Q90" s="2">
        <f t="shared" si="76"/>
        <v>0</v>
      </c>
      <c r="R90" s="2">
        <f t="shared" si="77"/>
        <v>0</v>
      </c>
      <c r="S90" s="2">
        <f t="shared" si="78"/>
        <v>0</v>
      </c>
      <c r="T90" s="2">
        <f t="shared" si="79"/>
        <v>0</v>
      </c>
      <c r="U90" s="2">
        <f t="shared" si="80"/>
        <v>0</v>
      </c>
      <c r="V90" s="2">
        <f t="shared" si="81"/>
        <v>0</v>
      </c>
      <c r="W90" s="2">
        <f t="shared" si="82"/>
        <v>0</v>
      </c>
      <c r="X90" s="2">
        <f t="shared" si="83"/>
        <v>0</v>
      </c>
      <c r="Y90" s="2">
        <f t="shared" si="84"/>
        <v>0</v>
      </c>
      <c r="Z90" s="2"/>
      <c r="AA90" s="2">
        <v>55463411</v>
      </c>
      <c r="AB90" s="2">
        <f t="shared" si="85"/>
        <v>9073.9</v>
      </c>
      <c r="AC90" s="2">
        <f t="shared" si="86"/>
        <v>9073.9</v>
      </c>
      <c r="AD90" s="2">
        <f t="shared" si="112"/>
        <v>0</v>
      </c>
      <c r="AE90" s="2">
        <f t="shared" si="113"/>
        <v>0</v>
      </c>
      <c r="AF90" s="2">
        <f t="shared" si="114"/>
        <v>0</v>
      </c>
      <c r="AG90" s="2">
        <f t="shared" si="87"/>
        <v>0</v>
      </c>
      <c r="AH90" s="2">
        <f t="shared" si="115"/>
        <v>0</v>
      </c>
      <c r="AI90" s="2">
        <f t="shared" si="116"/>
        <v>0</v>
      </c>
      <c r="AJ90" s="2">
        <f t="shared" si="88"/>
        <v>0</v>
      </c>
      <c r="AK90" s="2">
        <v>9073.9</v>
      </c>
      <c r="AL90" s="2">
        <v>9073.9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112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174</v>
      </c>
      <c r="BK90" s="2"/>
      <c r="BL90" s="2"/>
      <c r="BM90" s="2">
        <v>11001</v>
      </c>
      <c r="BN90" s="2">
        <v>0</v>
      </c>
      <c r="BO90" s="2" t="s">
        <v>3</v>
      </c>
      <c r="BP90" s="2">
        <v>0</v>
      </c>
      <c r="BQ90" s="2">
        <v>2</v>
      </c>
      <c r="BR90" s="2">
        <v>1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112</v>
      </c>
      <c r="CA90" s="2">
        <v>65</v>
      </c>
      <c r="CB90" s="2" t="s">
        <v>3</v>
      </c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89"/>
        <v>-786.25</v>
      </c>
      <c r="CQ90" s="2">
        <f t="shared" si="90"/>
        <v>9073.9</v>
      </c>
      <c r="CR90" s="2">
        <f t="shared" si="117"/>
        <v>0</v>
      </c>
      <c r="CS90" s="2">
        <f t="shared" si="91"/>
        <v>0</v>
      </c>
      <c r="CT90" s="2">
        <f t="shared" si="92"/>
        <v>0</v>
      </c>
      <c r="CU90" s="2">
        <f t="shared" si="93"/>
        <v>0</v>
      </c>
      <c r="CV90" s="2">
        <f t="shared" si="94"/>
        <v>0</v>
      </c>
      <c r="CW90" s="2">
        <f t="shared" si="95"/>
        <v>0</v>
      </c>
      <c r="CX90" s="2">
        <f t="shared" si="96"/>
        <v>0</v>
      </c>
      <c r="CY90" s="2">
        <f t="shared" si="97"/>
        <v>0</v>
      </c>
      <c r="CZ90" s="2">
        <f t="shared" si="98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36</v>
      </c>
      <c r="DW90" s="2" t="s">
        <v>36</v>
      </c>
      <c r="DX90" s="2">
        <v>1000</v>
      </c>
      <c r="DY90" s="2"/>
      <c r="DZ90" s="2" t="s">
        <v>3</v>
      </c>
      <c r="EA90" s="2" t="s">
        <v>3</v>
      </c>
      <c r="EB90" s="2" t="s">
        <v>3</v>
      </c>
      <c r="EC90" s="2" t="s">
        <v>3</v>
      </c>
      <c r="ED90" s="2"/>
      <c r="EE90" s="2">
        <v>55471663</v>
      </c>
      <c r="EF90" s="2">
        <v>2</v>
      </c>
      <c r="EG90" s="2" t="s">
        <v>60</v>
      </c>
      <c r="EH90" s="2">
        <v>11</v>
      </c>
      <c r="EI90" s="2" t="s">
        <v>28</v>
      </c>
      <c r="EJ90" s="2">
        <v>1</v>
      </c>
      <c r="EK90" s="2">
        <v>11001</v>
      </c>
      <c r="EL90" s="2" t="s">
        <v>28</v>
      </c>
      <c r="EM90" s="2" t="s">
        <v>146</v>
      </c>
      <c r="EN90" s="2"/>
      <c r="EO90" s="2" t="s">
        <v>3</v>
      </c>
      <c r="EP90" s="2"/>
      <c r="EQ90" s="2">
        <v>0</v>
      </c>
      <c r="ER90" s="2">
        <v>9073.9</v>
      </c>
      <c r="ES90" s="2">
        <v>9073.9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99"/>
        <v>0</v>
      </c>
      <c r="FS90" s="2">
        <v>0</v>
      </c>
      <c r="FT90" s="2"/>
      <c r="FU90" s="2"/>
      <c r="FV90" s="2"/>
      <c r="FW90" s="2"/>
      <c r="FX90" s="2">
        <v>112</v>
      </c>
      <c r="FY90" s="2">
        <v>65</v>
      </c>
      <c r="FZ90" s="2"/>
      <c r="GA90" s="2" t="s">
        <v>3</v>
      </c>
      <c r="GB90" s="2"/>
      <c r="GC90" s="2"/>
      <c r="GD90" s="2">
        <v>1</v>
      </c>
      <c r="GE90" s="2"/>
      <c r="GF90" s="2">
        <v>-1728016612</v>
      </c>
      <c r="GG90" s="2">
        <v>2</v>
      </c>
      <c r="GH90" s="2">
        <v>1</v>
      </c>
      <c r="GI90" s="2">
        <v>-2</v>
      </c>
      <c r="GJ90" s="2">
        <v>0</v>
      </c>
      <c r="GK90" s="2">
        <v>0</v>
      </c>
      <c r="GL90" s="2">
        <f t="shared" si="100"/>
        <v>0</v>
      </c>
      <c r="GM90" s="2">
        <f t="shared" si="101"/>
        <v>-786.25</v>
      </c>
      <c r="GN90" s="2">
        <f t="shared" si="102"/>
        <v>-786.25</v>
      </c>
      <c r="GO90" s="2">
        <f t="shared" si="103"/>
        <v>0</v>
      </c>
      <c r="GP90" s="2">
        <f t="shared" si="104"/>
        <v>0</v>
      </c>
      <c r="GQ90" s="2"/>
      <c r="GR90" s="2">
        <v>0</v>
      </c>
      <c r="GS90" s="2">
        <v>3</v>
      </c>
      <c r="GT90" s="2">
        <v>0</v>
      </c>
      <c r="GU90" s="2" t="s">
        <v>3</v>
      </c>
      <c r="GV90" s="2">
        <f t="shared" si="105"/>
        <v>0</v>
      </c>
      <c r="GW90" s="2">
        <v>1</v>
      </c>
      <c r="GX90" s="2">
        <f t="shared" si="106"/>
        <v>0</v>
      </c>
      <c r="GY90" s="2"/>
      <c r="GZ90" s="2"/>
      <c r="HA90" s="2">
        <v>0</v>
      </c>
      <c r="HB90" s="2">
        <v>0</v>
      </c>
      <c r="HC90" s="2">
        <f t="shared" si="107"/>
        <v>0</v>
      </c>
      <c r="HD90" s="2"/>
      <c r="HE90" s="2" t="s">
        <v>3</v>
      </c>
      <c r="HF90" s="2" t="s">
        <v>3</v>
      </c>
      <c r="HG90" s="2"/>
      <c r="HH90" s="2"/>
      <c r="HI90" s="2">
        <f t="shared" si="108"/>
        <v>0</v>
      </c>
      <c r="HJ90" s="2">
        <f t="shared" si="109"/>
        <v>0</v>
      </c>
      <c r="HK90" s="2">
        <f t="shared" si="110"/>
        <v>0</v>
      </c>
      <c r="HL90" s="2">
        <f t="shared" si="111"/>
        <v>0</v>
      </c>
      <c r="HM90" s="2" t="s">
        <v>3</v>
      </c>
      <c r="HN90" s="2" t="s">
        <v>147</v>
      </c>
      <c r="HO90" s="2" t="s">
        <v>148</v>
      </c>
      <c r="HP90" s="2" t="s">
        <v>28</v>
      </c>
      <c r="HQ90" s="2" t="s">
        <v>28</v>
      </c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45" ht="12.75">
      <c r="A91">
        <v>18</v>
      </c>
      <c r="B91">
        <v>1</v>
      </c>
      <c r="C91">
        <v>61</v>
      </c>
      <c r="E91" t="s">
        <v>171</v>
      </c>
      <c r="F91" t="s">
        <v>172</v>
      </c>
      <c r="G91" t="s">
        <v>173</v>
      </c>
      <c r="H91" t="s">
        <v>36</v>
      </c>
      <c r="I91">
        <f>I79*J91</f>
        <v>-0.08665</v>
      </c>
      <c r="J91">
        <v>-0.05</v>
      </c>
      <c r="K91">
        <v>-0.05</v>
      </c>
      <c r="O91">
        <f t="shared" si="74"/>
        <v>-786.25</v>
      </c>
      <c r="P91">
        <f t="shared" si="75"/>
        <v>-786.25</v>
      </c>
      <c r="Q91">
        <f t="shared" si="76"/>
        <v>0</v>
      </c>
      <c r="R91">
        <f t="shared" si="77"/>
        <v>0</v>
      </c>
      <c r="S91">
        <f t="shared" si="78"/>
        <v>0</v>
      </c>
      <c r="T91">
        <f t="shared" si="79"/>
        <v>0</v>
      </c>
      <c r="U91">
        <f t="shared" si="80"/>
        <v>0</v>
      </c>
      <c r="V91">
        <f t="shared" si="81"/>
        <v>0</v>
      </c>
      <c r="W91">
        <f t="shared" si="82"/>
        <v>0</v>
      </c>
      <c r="X91">
        <f t="shared" si="83"/>
        <v>0</v>
      </c>
      <c r="Y91">
        <f t="shared" si="84"/>
        <v>0</v>
      </c>
      <c r="AA91">
        <v>55463412</v>
      </c>
      <c r="AB91">
        <f t="shared" si="85"/>
        <v>9073.9</v>
      </c>
      <c r="AC91">
        <f t="shared" si="86"/>
        <v>9073.9</v>
      </c>
      <c r="AD91">
        <f t="shared" si="112"/>
        <v>0</v>
      </c>
      <c r="AE91">
        <f t="shared" si="113"/>
        <v>0</v>
      </c>
      <c r="AF91">
        <f t="shared" si="114"/>
        <v>0</v>
      </c>
      <c r="AG91">
        <f t="shared" si="87"/>
        <v>0</v>
      </c>
      <c r="AH91">
        <f t="shared" si="115"/>
        <v>0</v>
      </c>
      <c r="AI91">
        <f t="shared" si="116"/>
        <v>0</v>
      </c>
      <c r="AJ91">
        <f t="shared" si="88"/>
        <v>0</v>
      </c>
      <c r="AK91">
        <v>9073.9</v>
      </c>
      <c r="AL91">
        <v>9073.9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112</v>
      </c>
      <c r="AU91">
        <v>65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1</v>
      </c>
      <c r="BH91">
        <v>3</v>
      </c>
      <c r="BI91">
        <v>1</v>
      </c>
      <c r="BJ91" t="s">
        <v>174</v>
      </c>
      <c r="BM91">
        <v>11001</v>
      </c>
      <c r="BN91">
        <v>0</v>
      </c>
      <c r="BO91" t="s">
        <v>32</v>
      </c>
      <c r="BP91">
        <v>1</v>
      </c>
      <c r="BQ91">
        <v>2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112</v>
      </c>
      <c r="CA91">
        <v>65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9"/>
        <v>-786.25</v>
      </c>
      <c r="CQ91">
        <f t="shared" si="90"/>
        <v>9073.9</v>
      </c>
      <c r="CR91">
        <f t="shared" si="117"/>
        <v>0</v>
      </c>
      <c r="CS91">
        <f t="shared" si="91"/>
        <v>0</v>
      </c>
      <c r="CT91">
        <f t="shared" si="92"/>
        <v>0</v>
      </c>
      <c r="CU91">
        <f t="shared" si="93"/>
        <v>0</v>
      </c>
      <c r="CV91">
        <f t="shared" si="94"/>
        <v>0</v>
      </c>
      <c r="CW91">
        <f t="shared" si="95"/>
        <v>0</v>
      </c>
      <c r="CX91">
        <f t="shared" si="96"/>
        <v>0</v>
      </c>
      <c r="CY91">
        <f t="shared" si="97"/>
        <v>0</v>
      </c>
      <c r="CZ91">
        <f t="shared" si="98"/>
        <v>0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36</v>
      </c>
      <c r="DW91" t="s">
        <v>36</v>
      </c>
      <c r="DX91">
        <v>1000</v>
      </c>
      <c r="EE91">
        <v>55471663</v>
      </c>
      <c r="EF91">
        <v>2</v>
      </c>
      <c r="EG91" t="s">
        <v>60</v>
      </c>
      <c r="EH91">
        <v>11</v>
      </c>
      <c r="EI91" t="s">
        <v>28</v>
      </c>
      <c r="EJ91">
        <v>1</v>
      </c>
      <c r="EK91">
        <v>11001</v>
      </c>
      <c r="EL91" t="s">
        <v>28</v>
      </c>
      <c r="EM91" t="s">
        <v>146</v>
      </c>
      <c r="EQ91">
        <v>0</v>
      </c>
      <c r="ER91">
        <v>9073.9</v>
      </c>
      <c r="ES91">
        <v>9073.9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99"/>
        <v>0</v>
      </c>
      <c r="FS91">
        <v>0</v>
      </c>
      <c r="FX91">
        <v>112</v>
      </c>
      <c r="FY91">
        <v>65</v>
      </c>
      <c r="GD91">
        <v>1</v>
      </c>
      <c r="GF91">
        <v>-1728016612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100"/>
        <v>0</v>
      </c>
      <c r="GM91">
        <f t="shared" si="101"/>
        <v>-786.25</v>
      </c>
      <c r="GN91">
        <f t="shared" si="102"/>
        <v>-786.25</v>
      </c>
      <c r="GO91">
        <f t="shared" si="103"/>
        <v>0</v>
      </c>
      <c r="GP91">
        <f t="shared" si="104"/>
        <v>0</v>
      </c>
      <c r="GR91">
        <v>0</v>
      </c>
      <c r="GS91">
        <v>3</v>
      </c>
      <c r="GT91">
        <v>0</v>
      </c>
      <c r="GV91">
        <f t="shared" si="105"/>
        <v>0</v>
      </c>
      <c r="GW91">
        <v>1</v>
      </c>
      <c r="GX91">
        <f t="shared" si="106"/>
        <v>0</v>
      </c>
      <c r="HA91">
        <v>0</v>
      </c>
      <c r="HB91">
        <v>0</v>
      </c>
      <c r="HC91">
        <f t="shared" si="107"/>
        <v>0</v>
      </c>
      <c r="HI91">
        <f t="shared" si="108"/>
        <v>0</v>
      </c>
      <c r="HJ91">
        <f t="shared" si="109"/>
        <v>0</v>
      </c>
      <c r="HK91">
        <f t="shared" si="110"/>
        <v>0</v>
      </c>
      <c r="HL91">
        <f t="shared" si="111"/>
        <v>0</v>
      </c>
      <c r="HN91" t="s">
        <v>147</v>
      </c>
      <c r="HO91" t="s">
        <v>148</v>
      </c>
      <c r="HP91" t="s">
        <v>28</v>
      </c>
      <c r="HQ91" t="s">
        <v>28</v>
      </c>
      <c r="IK91">
        <v>0</v>
      </c>
    </row>
    <row r="92" spans="1:255" ht="12.75">
      <c r="A92" s="2">
        <v>18</v>
      </c>
      <c r="B92" s="2">
        <v>1</v>
      </c>
      <c r="C92" s="2">
        <v>47</v>
      </c>
      <c r="D92" s="2"/>
      <c r="E92" s="2" t="s">
        <v>175</v>
      </c>
      <c r="F92" s="2" t="s">
        <v>176</v>
      </c>
      <c r="G92" s="2" t="s">
        <v>177</v>
      </c>
      <c r="H92" s="2" t="s">
        <v>36</v>
      </c>
      <c r="I92" s="2">
        <f>I78*J92</f>
        <v>-0.0019059999999999997</v>
      </c>
      <c r="J92" s="2">
        <v>-0.0010998268897864972</v>
      </c>
      <c r="K92" s="2">
        <v>-0.0011</v>
      </c>
      <c r="L92" s="2"/>
      <c r="M92" s="2"/>
      <c r="N92" s="2"/>
      <c r="O92" s="2">
        <f t="shared" si="74"/>
        <v>-14.71</v>
      </c>
      <c r="P92" s="2">
        <f t="shared" si="75"/>
        <v>-14.71</v>
      </c>
      <c r="Q92" s="2">
        <f t="shared" si="76"/>
        <v>0</v>
      </c>
      <c r="R92" s="2">
        <f t="shared" si="77"/>
        <v>0</v>
      </c>
      <c r="S92" s="2">
        <f t="shared" si="78"/>
        <v>0</v>
      </c>
      <c r="T92" s="2">
        <f t="shared" si="79"/>
        <v>0</v>
      </c>
      <c r="U92" s="2">
        <f t="shared" si="80"/>
        <v>0</v>
      </c>
      <c r="V92" s="2">
        <f t="shared" si="81"/>
        <v>0</v>
      </c>
      <c r="W92" s="2">
        <f t="shared" si="82"/>
        <v>0</v>
      </c>
      <c r="X92" s="2">
        <f t="shared" si="83"/>
        <v>0</v>
      </c>
      <c r="Y92" s="2">
        <f t="shared" si="84"/>
        <v>0</v>
      </c>
      <c r="Z92" s="2"/>
      <c r="AA92" s="2">
        <v>55463411</v>
      </c>
      <c r="AB92" s="2">
        <f t="shared" si="85"/>
        <v>7716.7</v>
      </c>
      <c r="AC92" s="2">
        <f t="shared" si="86"/>
        <v>7716.7</v>
      </c>
      <c r="AD92" s="2">
        <f t="shared" si="112"/>
        <v>0</v>
      </c>
      <c r="AE92" s="2">
        <f t="shared" si="113"/>
        <v>0</v>
      </c>
      <c r="AF92" s="2">
        <f t="shared" si="114"/>
        <v>0</v>
      </c>
      <c r="AG92" s="2">
        <f t="shared" si="87"/>
        <v>0</v>
      </c>
      <c r="AH92" s="2">
        <f t="shared" si="115"/>
        <v>0</v>
      </c>
      <c r="AI92" s="2">
        <f t="shared" si="116"/>
        <v>0</v>
      </c>
      <c r="AJ92" s="2">
        <f t="shared" si="88"/>
        <v>0</v>
      </c>
      <c r="AK92" s="2">
        <v>7716.7</v>
      </c>
      <c r="AL92" s="2">
        <v>7716.7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112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178</v>
      </c>
      <c r="BK92" s="2"/>
      <c r="BL92" s="2"/>
      <c r="BM92" s="2">
        <v>11001</v>
      </c>
      <c r="BN92" s="2">
        <v>0</v>
      </c>
      <c r="BO92" s="2" t="s">
        <v>3</v>
      </c>
      <c r="BP92" s="2">
        <v>0</v>
      </c>
      <c r="BQ92" s="2">
        <v>2</v>
      </c>
      <c r="BR92" s="2">
        <v>1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112</v>
      </c>
      <c r="CA92" s="2">
        <v>65</v>
      </c>
      <c r="CB92" s="2" t="s">
        <v>3</v>
      </c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89"/>
        <v>-14.71</v>
      </c>
      <c r="CQ92" s="2">
        <f t="shared" si="90"/>
        <v>7716.7</v>
      </c>
      <c r="CR92" s="2">
        <f t="shared" si="117"/>
        <v>0</v>
      </c>
      <c r="CS92" s="2">
        <f t="shared" si="91"/>
        <v>0</v>
      </c>
      <c r="CT92" s="2">
        <f t="shared" si="92"/>
        <v>0</v>
      </c>
      <c r="CU92" s="2">
        <f t="shared" si="93"/>
        <v>0</v>
      </c>
      <c r="CV92" s="2">
        <f t="shared" si="94"/>
        <v>0</v>
      </c>
      <c r="CW92" s="2">
        <f t="shared" si="95"/>
        <v>0</v>
      </c>
      <c r="CX92" s="2">
        <f t="shared" si="96"/>
        <v>0</v>
      </c>
      <c r="CY92" s="2">
        <f t="shared" si="97"/>
        <v>0</v>
      </c>
      <c r="CZ92" s="2">
        <f t="shared" si="98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36</v>
      </c>
      <c r="DW92" s="2" t="s">
        <v>36</v>
      </c>
      <c r="DX92" s="2">
        <v>1000</v>
      </c>
      <c r="DY92" s="2"/>
      <c r="DZ92" s="2" t="s">
        <v>3</v>
      </c>
      <c r="EA92" s="2" t="s">
        <v>3</v>
      </c>
      <c r="EB92" s="2" t="s">
        <v>3</v>
      </c>
      <c r="EC92" s="2" t="s">
        <v>3</v>
      </c>
      <c r="ED92" s="2"/>
      <c r="EE92" s="2">
        <v>55471663</v>
      </c>
      <c r="EF92" s="2">
        <v>2</v>
      </c>
      <c r="EG92" s="2" t="s">
        <v>60</v>
      </c>
      <c r="EH92" s="2">
        <v>11</v>
      </c>
      <c r="EI92" s="2" t="s">
        <v>28</v>
      </c>
      <c r="EJ92" s="2">
        <v>1</v>
      </c>
      <c r="EK92" s="2">
        <v>11001</v>
      </c>
      <c r="EL92" s="2" t="s">
        <v>28</v>
      </c>
      <c r="EM92" s="2" t="s">
        <v>146</v>
      </c>
      <c r="EN92" s="2"/>
      <c r="EO92" s="2" t="s">
        <v>3</v>
      </c>
      <c r="EP92" s="2"/>
      <c r="EQ92" s="2">
        <v>0</v>
      </c>
      <c r="ER92" s="2">
        <v>7716.7</v>
      </c>
      <c r="ES92" s="2">
        <v>7716.7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99"/>
        <v>0</v>
      </c>
      <c r="FS92" s="2">
        <v>0</v>
      </c>
      <c r="FT92" s="2"/>
      <c r="FU92" s="2"/>
      <c r="FV92" s="2"/>
      <c r="FW92" s="2"/>
      <c r="FX92" s="2">
        <v>112</v>
      </c>
      <c r="FY92" s="2">
        <v>65</v>
      </c>
      <c r="FZ92" s="2"/>
      <c r="GA92" s="2" t="s">
        <v>3</v>
      </c>
      <c r="GB92" s="2"/>
      <c r="GC92" s="2"/>
      <c r="GD92" s="2">
        <v>1</v>
      </c>
      <c r="GE92" s="2"/>
      <c r="GF92" s="2">
        <v>1186343801</v>
      </c>
      <c r="GG92" s="2">
        <v>2</v>
      </c>
      <c r="GH92" s="2">
        <v>1</v>
      </c>
      <c r="GI92" s="2">
        <v>-2</v>
      </c>
      <c r="GJ92" s="2">
        <v>0</v>
      </c>
      <c r="GK92" s="2">
        <v>0</v>
      </c>
      <c r="GL92" s="2">
        <f t="shared" si="100"/>
        <v>0</v>
      </c>
      <c r="GM92" s="2">
        <f t="shared" si="101"/>
        <v>-14.71</v>
      </c>
      <c r="GN92" s="2">
        <f t="shared" si="102"/>
        <v>-14.71</v>
      </c>
      <c r="GO92" s="2">
        <f t="shared" si="103"/>
        <v>0</v>
      </c>
      <c r="GP92" s="2">
        <f t="shared" si="104"/>
        <v>0</v>
      </c>
      <c r="GQ92" s="2"/>
      <c r="GR92" s="2">
        <v>0</v>
      </c>
      <c r="GS92" s="2">
        <v>3</v>
      </c>
      <c r="GT92" s="2">
        <v>0</v>
      </c>
      <c r="GU92" s="2" t="s">
        <v>3</v>
      </c>
      <c r="GV92" s="2">
        <f t="shared" si="105"/>
        <v>0</v>
      </c>
      <c r="GW92" s="2">
        <v>1</v>
      </c>
      <c r="GX92" s="2">
        <f t="shared" si="106"/>
        <v>0</v>
      </c>
      <c r="GY92" s="2"/>
      <c r="GZ92" s="2"/>
      <c r="HA92" s="2">
        <v>0</v>
      </c>
      <c r="HB92" s="2">
        <v>0</v>
      </c>
      <c r="HC92" s="2">
        <f t="shared" si="107"/>
        <v>0</v>
      </c>
      <c r="HD92" s="2"/>
      <c r="HE92" s="2" t="s">
        <v>3</v>
      </c>
      <c r="HF92" s="2" t="s">
        <v>3</v>
      </c>
      <c r="HG92" s="2"/>
      <c r="HH92" s="2"/>
      <c r="HI92" s="2">
        <f t="shared" si="108"/>
        <v>0</v>
      </c>
      <c r="HJ92" s="2">
        <f t="shared" si="109"/>
        <v>0</v>
      </c>
      <c r="HK92" s="2">
        <f t="shared" si="110"/>
        <v>0</v>
      </c>
      <c r="HL92" s="2">
        <f t="shared" si="111"/>
        <v>0</v>
      </c>
      <c r="HM92" s="2" t="s">
        <v>3</v>
      </c>
      <c r="HN92" s="2" t="s">
        <v>147</v>
      </c>
      <c r="HO92" s="2" t="s">
        <v>148</v>
      </c>
      <c r="HP92" s="2" t="s">
        <v>28</v>
      </c>
      <c r="HQ92" s="2" t="s">
        <v>28</v>
      </c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45" ht="12.75">
      <c r="A93">
        <v>18</v>
      </c>
      <c r="B93">
        <v>1</v>
      </c>
      <c r="C93">
        <v>62</v>
      </c>
      <c r="E93" t="s">
        <v>175</v>
      </c>
      <c r="F93" t="s">
        <v>176</v>
      </c>
      <c r="G93" t="s">
        <v>177</v>
      </c>
      <c r="H93" t="s">
        <v>36</v>
      </c>
      <c r="I93">
        <f>I79*J93</f>
        <v>-0.0019059999999999997</v>
      </c>
      <c r="J93">
        <v>-0.0010998268897864972</v>
      </c>
      <c r="K93">
        <v>-0.0011</v>
      </c>
      <c r="O93">
        <f t="shared" si="74"/>
        <v>-14.71</v>
      </c>
      <c r="P93">
        <f t="shared" si="75"/>
        <v>-14.71</v>
      </c>
      <c r="Q93">
        <f t="shared" si="76"/>
        <v>0</v>
      </c>
      <c r="R93">
        <f t="shared" si="77"/>
        <v>0</v>
      </c>
      <c r="S93">
        <f t="shared" si="78"/>
        <v>0</v>
      </c>
      <c r="T93">
        <f t="shared" si="79"/>
        <v>0</v>
      </c>
      <c r="U93">
        <f t="shared" si="80"/>
        <v>0</v>
      </c>
      <c r="V93">
        <f t="shared" si="81"/>
        <v>0</v>
      </c>
      <c r="W93">
        <f t="shared" si="82"/>
        <v>0</v>
      </c>
      <c r="X93">
        <f t="shared" si="83"/>
        <v>0</v>
      </c>
      <c r="Y93">
        <f t="shared" si="84"/>
        <v>0</v>
      </c>
      <c r="AA93">
        <v>55463412</v>
      </c>
      <c r="AB93">
        <f t="shared" si="85"/>
        <v>7716.7</v>
      </c>
      <c r="AC93">
        <f t="shared" si="86"/>
        <v>7716.7</v>
      </c>
      <c r="AD93">
        <f t="shared" si="112"/>
        <v>0</v>
      </c>
      <c r="AE93">
        <f t="shared" si="113"/>
        <v>0</v>
      </c>
      <c r="AF93">
        <f t="shared" si="114"/>
        <v>0</v>
      </c>
      <c r="AG93">
        <f t="shared" si="87"/>
        <v>0</v>
      </c>
      <c r="AH93">
        <f t="shared" si="115"/>
        <v>0</v>
      </c>
      <c r="AI93">
        <f t="shared" si="116"/>
        <v>0</v>
      </c>
      <c r="AJ93">
        <f t="shared" si="88"/>
        <v>0</v>
      </c>
      <c r="AK93">
        <v>7716.7</v>
      </c>
      <c r="AL93">
        <v>7716.7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112</v>
      </c>
      <c r="AU93">
        <v>65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1</v>
      </c>
      <c r="BH93">
        <v>3</v>
      </c>
      <c r="BI93">
        <v>1</v>
      </c>
      <c r="BJ93" t="s">
        <v>178</v>
      </c>
      <c r="BM93">
        <v>11001</v>
      </c>
      <c r="BN93">
        <v>0</v>
      </c>
      <c r="BO93" t="s">
        <v>32</v>
      </c>
      <c r="BP93">
        <v>1</v>
      </c>
      <c r="BQ93">
        <v>2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112</v>
      </c>
      <c r="CA93">
        <v>65</v>
      </c>
      <c r="CE93">
        <v>0</v>
      </c>
      <c r="CF93">
        <v>0</v>
      </c>
      <c r="CG93">
        <v>0</v>
      </c>
      <c r="CM93">
        <v>0</v>
      </c>
      <c r="CO93">
        <v>0</v>
      </c>
      <c r="CP93">
        <f t="shared" si="89"/>
        <v>-14.71</v>
      </c>
      <c r="CQ93">
        <f t="shared" si="90"/>
        <v>7716.7</v>
      </c>
      <c r="CR93">
        <f t="shared" si="117"/>
        <v>0</v>
      </c>
      <c r="CS93">
        <f t="shared" si="91"/>
        <v>0</v>
      </c>
      <c r="CT93">
        <f t="shared" si="92"/>
        <v>0</v>
      </c>
      <c r="CU93">
        <f t="shared" si="93"/>
        <v>0</v>
      </c>
      <c r="CV93">
        <f t="shared" si="94"/>
        <v>0</v>
      </c>
      <c r="CW93">
        <f t="shared" si="95"/>
        <v>0</v>
      </c>
      <c r="CX93">
        <f t="shared" si="96"/>
        <v>0</v>
      </c>
      <c r="CY93">
        <f t="shared" si="97"/>
        <v>0</v>
      </c>
      <c r="CZ93">
        <f t="shared" si="98"/>
        <v>0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36</v>
      </c>
      <c r="DW93" t="s">
        <v>36</v>
      </c>
      <c r="DX93">
        <v>1000</v>
      </c>
      <c r="EE93">
        <v>55471663</v>
      </c>
      <c r="EF93">
        <v>2</v>
      </c>
      <c r="EG93" t="s">
        <v>60</v>
      </c>
      <c r="EH93">
        <v>11</v>
      </c>
      <c r="EI93" t="s">
        <v>28</v>
      </c>
      <c r="EJ93">
        <v>1</v>
      </c>
      <c r="EK93">
        <v>11001</v>
      </c>
      <c r="EL93" t="s">
        <v>28</v>
      </c>
      <c r="EM93" t="s">
        <v>146</v>
      </c>
      <c r="EQ93">
        <v>0</v>
      </c>
      <c r="ER93">
        <v>7716.7</v>
      </c>
      <c r="ES93">
        <v>7716.7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99"/>
        <v>0</v>
      </c>
      <c r="FS93">
        <v>0</v>
      </c>
      <c r="FX93">
        <v>112</v>
      </c>
      <c r="FY93">
        <v>65</v>
      </c>
      <c r="GD93">
        <v>1</v>
      </c>
      <c r="GF93">
        <v>1186343801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00"/>
        <v>0</v>
      </c>
      <c r="GM93">
        <f t="shared" si="101"/>
        <v>-14.71</v>
      </c>
      <c r="GN93">
        <f t="shared" si="102"/>
        <v>-14.71</v>
      </c>
      <c r="GO93">
        <f t="shared" si="103"/>
        <v>0</v>
      </c>
      <c r="GP93">
        <f t="shared" si="104"/>
        <v>0</v>
      </c>
      <c r="GR93">
        <v>0</v>
      </c>
      <c r="GS93">
        <v>3</v>
      </c>
      <c r="GT93">
        <v>0</v>
      </c>
      <c r="GV93">
        <f t="shared" si="105"/>
        <v>0</v>
      </c>
      <c r="GW93">
        <v>1</v>
      </c>
      <c r="GX93">
        <f t="shared" si="106"/>
        <v>0</v>
      </c>
      <c r="HA93">
        <v>0</v>
      </c>
      <c r="HB93">
        <v>0</v>
      </c>
      <c r="HC93">
        <f t="shared" si="107"/>
        <v>0</v>
      </c>
      <c r="HI93">
        <f t="shared" si="108"/>
        <v>0</v>
      </c>
      <c r="HJ93">
        <f t="shared" si="109"/>
        <v>0</v>
      </c>
      <c r="HK93">
        <f t="shared" si="110"/>
        <v>0</v>
      </c>
      <c r="HL93">
        <f t="shared" si="111"/>
        <v>0</v>
      </c>
      <c r="HN93" t="s">
        <v>147</v>
      </c>
      <c r="HO93" t="s">
        <v>148</v>
      </c>
      <c r="HP93" t="s">
        <v>28</v>
      </c>
      <c r="HQ93" t="s">
        <v>28</v>
      </c>
      <c r="IK93">
        <v>0</v>
      </c>
    </row>
    <row r="94" spans="1:255" ht="12.75">
      <c r="A94" s="2">
        <v>17</v>
      </c>
      <c r="B94" s="2">
        <v>1</v>
      </c>
      <c r="C94" s="2">
        <f>ROW(SmtRes!A71)</f>
        <v>71</v>
      </c>
      <c r="D94" s="2">
        <f>ROW(EtalonRes!A70)</f>
        <v>70</v>
      </c>
      <c r="E94" s="2" t="s">
        <v>179</v>
      </c>
      <c r="F94" s="2" t="s">
        <v>180</v>
      </c>
      <c r="G94" s="2" t="s">
        <v>181</v>
      </c>
      <c r="H94" s="2" t="s">
        <v>48</v>
      </c>
      <c r="I94" s="2">
        <f>ROUND(13.8/100,7)</f>
        <v>0.138</v>
      </c>
      <c r="J94" s="2">
        <v>0</v>
      </c>
      <c r="K94" s="2">
        <f>ROUND(13.8/100,7)</f>
        <v>0.138</v>
      </c>
      <c r="L94" s="2"/>
      <c r="M94" s="2"/>
      <c r="N94" s="2"/>
      <c r="O94" s="2">
        <f t="shared" si="74"/>
        <v>562.74</v>
      </c>
      <c r="P94" s="2">
        <f t="shared" si="75"/>
        <v>125.48</v>
      </c>
      <c r="Q94" s="2">
        <f t="shared" si="76"/>
        <v>270.15</v>
      </c>
      <c r="R94" s="2">
        <f t="shared" si="77"/>
        <v>42.16</v>
      </c>
      <c r="S94" s="2">
        <f t="shared" si="78"/>
        <v>167.11</v>
      </c>
      <c r="T94" s="2">
        <f t="shared" si="79"/>
        <v>0</v>
      </c>
      <c r="U94" s="2">
        <f t="shared" si="80"/>
        <v>21.424500000000002</v>
      </c>
      <c r="V94" s="2">
        <f t="shared" si="81"/>
        <v>3.1257000000000006</v>
      </c>
      <c r="W94" s="2">
        <f t="shared" si="82"/>
        <v>0</v>
      </c>
      <c r="X94" s="2">
        <f t="shared" si="83"/>
        <v>192.11</v>
      </c>
      <c r="Y94" s="2">
        <f t="shared" si="84"/>
        <v>103.17</v>
      </c>
      <c r="Z94" s="2"/>
      <c r="AA94" s="2">
        <v>55463411</v>
      </c>
      <c r="AB94" s="2">
        <f t="shared" si="85"/>
        <v>4077.8</v>
      </c>
      <c r="AC94" s="2">
        <f t="shared" si="86"/>
        <v>909.27</v>
      </c>
      <c r="AD94" s="2">
        <f>ROUND(((((ET94*ROUND(1.25,7)))-((EU94*ROUND(1.25,7))))+AE94),2)</f>
        <v>1957.58</v>
      </c>
      <c r="AE94" s="2">
        <f>ROUND(((EU94*ROUND(1.25,7))),2)</f>
        <v>305.49</v>
      </c>
      <c r="AF94" s="2">
        <f>ROUND(((EV94*ROUND(1.15,7))),2)</f>
        <v>1210.95</v>
      </c>
      <c r="AG94" s="2">
        <f t="shared" si="87"/>
        <v>0</v>
      </c>
      <c r="AH94" s="2">
        <f>((EW94*ROUND(1.15,7)))</f>
        <v>155.25</v>
      </c>
      <c r="AI94" s="2">
        <f>((EX94*ROUND(1.25,7)))</f>
        <v>22.650000000000002</v>
      </c>
      <c r="AJ94" s="2">
        <f t="shared" si="88"/>
        <v>0</v>
      </c>
      <c r="AK94" s="2">
        <v>3528.33</v>
      </c>
      <c r="AL94" s="2">
        <v>909.27</v>
      </c>
      <c r="AM94" s="2">
        <v>1566.06</v>
      </c>
      <c r="AN94" s="2">
        <v>244.39</v>
      </c>
      <c r="AO94" s="2">
        <v>1053</v>
      </c>
      <c r="AP94" s="2">
        <v>0</v>
      </c>
      <c r="AQ94" s="2">
        <v>135</v>
      </c>
      <c r="AR94" s="2">
        <v>18.12</v>
      </c>
      <c r="AS94" s="2">
        <v>0</v>
      </c>
      <c r="AT94" s="2">
        <v>91.8</v>
      </c>
      <c r="AU94" s="2">
        <v>49.3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182</v>
      </c>
      <c r="BK94" s="2"/>
      <c r="BL94" s="2"/>
      <c r="BM94" s="2">
        <v>6001</v>
      </c>
      <c r="BN94" s="2">
        <v>0</v>
      </c>
      <c r="BO94" s="2" t="s">
        <v>3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102</v>
      </c>
      <c r="CA94" s="2">
        <v>58</v>
      </c>
      <c r="CB94" s="2" t="s">
        <v>3</v>
      </c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480</v>
      </c>
      <c r="CO94" s="2">
        <v>0</v>
      </c>
      <c r="CP94" s="2">
        <f t="shared" si="89"/>
        <v>562.74</v>
      </c>
      <c r="CQ94" s="2">
        <f t="shared" si="90"/>
        <v>909.27</v>
      </c>
      <c r="CR94" s="2">
        <f>((((ET94*ROUND(1.25,7)))*BB94-((EU94*ROUND(1.25,7))))+AE94)</f>
        <v>1957.5774999999999</v>
      </c>
      <c r="CS94" s="2">
        <f t="shared" si="91"/>
        <v>305.49</v>
      </c>
      <c r="CT94" s="2">
        <f t="shared" si="92"/>
        <v>1210.95</v>
      </c>
      <c r="CU94" s="2">
        <f t="shared" si="93"/>
        <v>0</v>
      </c>
      <c r="CV94" s="2">
        <f t="shared" si="94"/>
        <v>155.25</v>
      </c>
      <c r="CW94" s="2">
        <f t="shared" si="95"/>
        <v>22.650000000000002</v>
      </c>
      <c r="CX94" s="2">
        <f t="shared" si="96"/>
        <v>0</v>
      </c>
      <c r="CY94" s="2">
        <f t="shared" si="97"/>
        <v>192.10986</v>
      </c>
      <c r="CZ94" s="2">
        <f t="shared" si="98"/>
        <v>103.17011000000001</v>
      </c>
      <c r="DA94" s="2"/>
      <c r="DB94" s="2"/>
      <c r="DC94" s="2" t="s">
        <v>3</v>
      </c>
      <c r="DD94" s="2" t="s">
        <v>3</v>
      </c>
      <c r="DE94" s="2" t="s">
        <v>56</v>
      </c>
      <c r="DF94" s="2" t="s">
        <v>56</v>
      </c>
      <c r="DG94" s="2" t="s">
        <v>57</v>
      </c>
      <c r="DH94" s="2" t="s">
        <v>3</v>
      </c>
      <c r="DI94" s="2" t="s">
        <v>57</v>
      </c>
      <c r="DJ94" s="2" t="s">
        <v>56</v>
      </c>
      <c r="DK94" s="2" t="s">
        <v>3</v>
      </c>
      <c r="DL94" s="2" t="s">
        <v>58</v>
      </c>
      <c r="DM94" s="2" t="s">
        <v>59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1007</v>
      </c>
      <c r="DV94" s="2" t="s">
        <v>48</v>
      </c>
      <c r="DW94" s="2" t="s">
        <v>48</v>
      </c>
      <c r="DX94" s="2">
        <v>100</v>
      </c>
      <c r="DY94" s="2"/>
      <c r="DZ94" s="2" t="s">
        <v>3</v>
      </c>
      <c r="EA94" s="2" t="s">
        <v>3</v>
      </c>
      <c r="EB94" s="2" t="s">
        <v>3</v>
      </c>
      <c r="EC94" s="2" t="s">
        <v>3</v>
      </c>
      <c r="ED94" s="2"/>
      <c r="EE94" s="2">
        <v>55471642</v>
      </c>
      <c r="EF94" s="2">
        <v>2</v>
      </c>
      <c r="EG94" s="2" t="s">
        <v>60</v>
      </c>
      <c r="EH94" s="2">
        <v>6</v>
      </c>
      <c r="EI94" s="2" t="s">
        <v>183</v>
      </c>
      <c r="EJ94" s="2">
        <v>1</v>
      </c>
      <c r="EK94" s="2">
        <v>6001</v>
      </c>
      <c r="EL94" s="2" t="s">
        <v>183</v>
      </c>
      <c r="EM94" s="2" t="s">
        <v>184</v>
      </c>
      <c r="EN94" s="2"/>
      <c r="EO94" s="2" t="s">
        <v>139</v>
      </c>
      <c r="EP94" s="2"/>
      <c r="EQ94" s="2">
        <v>0</v>
      </c>
      <c r="ER94" s="2">
        <v>3528.33</v>
      </c>
      <c r="ES94" s="2">
        <v>909.27</v>
      </c>
      <c r="ET94" s="2">
        <v>1566.06</v>
      </c>
      <c r="EU94" s="2">
        <v>244.39</v>
      </c>
      <c r="EV94" s="2">
        <v>1053</v>
      </c>
      <c r="EW94" s="2">
        <v>135</v>
      </c>
      <c r="EX94" s="2">
        <v>18.12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99"/>
        <v>0</v>
      </c>
      <c r="FS94" s="2">
        <v>0</v>
      </c>
      <c r="FT94" s="2"/>
      <c r="FU94" s="2"/>
      <c r="FV94" s="2"/>
      <c r="FW94" s="2"/>
      <c r="FX94" s="2">
        <v>91.8</v>
      </c>
      <c r="FY94" s="2">
        <v>49.3</v>
      </c>
      <c r="FZ94" s="2"/>
      <c r="GA94" s="2" t="s">
        <v>3</v>
      </c>
      <c r="GB94" s="2"/>
      <c r="GC94" s="2"/>
      <c r="GD94" s="2">
        <v>1</v>
      </c>
      <c r="GE94" s="2"/>
      <c r="GF94" s="2">
        <v>2073913559</v>
      </c>
      <c r="GG94" s="2">
        <v>2</v>
      </c>
      <c r="GH94" s="2">
        <v>1</v>
      </c>
      <c r="GI94" s="2">
        <v>-2</v>
      </c>
      <c r="GJ94" s="2">
        <v>0</v>
      </c>
      <c r="GK94" s="2">
        <v>0</v>
      </c>
      <c r="GL94" s="2">
        <f t="shared" si="100"/>
        <v>0</v>
      </c>
      <c r="GM94" s="2">
        <f t="shared" si="101"/>
        <v>858.02</v>
      </c>
      <c r="GN94" s="2">
        <f t="shared" si="102"/>
        <v>858.02</v>
      </c>
      <c r="GO94" s="2">
        <f t="shared" si="103"/>
        <v>0</v>
      </c>
      <c r="GP94" s="2">
        <f t="shared" si="104"/>
        <v>0</v>
      </c>
      <c r="GQ94" s="2"/>
      <c r="GR94" s="2">
        <v>0</v>
      </c>
      <c r="GS94" s="2">
        <v>3</v>
      </c>
      <c r="GT94" s="2">
        <v>0</v>
      </c>
      <c r="GU94" s="2" t="s">
        <v>3</v>
      </c>
      <c r="GV94" s="2">
        <f t="shared" si="105"/>
        <v>0</v>
      </c>
      <c r="GW94" s="2">
        <v>1</v>
      </c>
      <c r="GX94" s="2">
        <f t="shared" si="106"/>
        <v>0</v>
      </c>
      <c r="GY94" s="2"/>
      <c r="GZ94" s="2"/>
      <c r="HA94" s="2">
        <v>0</v>
      </c>
      <c r="HB94" s="2">
        <v>0</v>
      </c>
      <c r="HC94" s="2">
        <f t="shared" si="107"/>
        <v>0</v>
      </c>
      <c r="HD94" s="2"/>
      <c r="HE94" s="2" t="s">
        <v>3</v>
      </c>
      <c r="HF94" s="2" t="s">
        <v>3</v>
      </c>
      <c r="HG94" s="2"/>
      <c r="HH94" s="2"/>
      <c r="HI94" s="2">
        <f t="shared" si="108"/>
        <v>42.16</v>
      </c>
      <c r="HJ94" s="2">
        <f t="shared" si="109"/>
        <v>167.11</v>
      </c>
      <c r="HK94" s="2">
        <f t="shared" si="110"/>
        <v>192.11</v>
      </c>
      <c r="HL94" s="2">
        <f t="shared" si="111"/>
        <v>103.17</v>
      </c>
      <c r="HM94" s="2" t="s">
        <v>3</v>
      </c>
      <c r="HN94" s="2" t="s">
        <v>185</v>
      </c>
      <c r="HO94" s="2" t="s">
        <v>186</v>
      </c>
      <c r="HP94" s="2" t="s">
        <v>183</v>
      </c>
      <c r="HQ94" s="2" t="s">
        <v>183</v>
      </c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45" ht="12.75">
      <c r="A95">
        <v>17</v>
      </c>
      <c r="B95">
        <v>1</v>
      </c>
      <c r="C95">
        <f>ROW(SmtRes!A80)</f>
        <v>80</v>
      </c>
      <c r="D95">
        <f>ROW(EtalonRes!A78)</f>
        <v>78</v>
      </c>
      <c r="E95" t="s">
        <v>179</v>
      </c>
      <c r="F95" t="s">
        <v>180</v>
      </c>
      <c r="G95" t="s">
        <v>181</v>
      </c>
      <c r="H95" t="s">
        <v>48</v>
      </c>
      <c r="I95">
        <f>ROUND(13.8/100,7)</f>
        <v>0.138</v>
      </c>
      <c r="J95">
        <v>0</v>
      </c>
      <c r="K95">
        <f>ROUND(13.8/100,7)</f>
        <v>0.138</v>
      </c>
      <c r="O95">
        <f t="shared" si="74"/>
        <v>562.74</v>
      </c>
      <c r="P95">
        <f t="shared" si="75"/>
        <v>125.48</v>
      </c>
      <c r="Q95">
        <f t="shared" si="76"/>
        <v>270.15</v>
      </c>
      <c r="R95">
        <f t="shared" si="77"/>
        <v>42.16</v>
      </c>
      <c r="S95">
        <f t="shared" si="78"/>
        <v>167.11</v>
      </c>
      <c r="T95">
        <f t="shared" si="79"/>
        <v>0</v>
      </c>
      <c r="U95">
        <f t="shared" si="80"/>
        <v>21.424500000000002</v>
      </c>
      <c r="V95">
        <f t="shared" si="81"/>
        <v>3.1257000000000006</v>
      </c>
      <c r="W95">
        <f t="shared" si="82"/>
        <v>0</v>
      </c>
      <c r="X95">
        <f t="shared" si="83"/>
        <v>192.11</v>
      </c>
      <c r="Y95">
        <f t="shared" si="84"/>
        <v>103.17</v>
      </c>
      <c r="AA95">
        <v>55463412</v>
      </c>
      <c r="AB95">
        <f t="shared" si="85"/>
        <v>4077.8</v>
      </c>
      <c r="AC95">
        <f t="shared" si="86"/>
        <v>909.27</v>
      </c>
      <c r="AD95">
        <f>ROUND(((((ET95*ROUND(1.25,7)))-((EU95*ROUND(1.25,7))))+AE95),2)</f>
        <v>1957.58</v>
      </c>
      <c r="AE95">
        <f>ROUND(((EU95*ROUND(1.25,7))),2)</f>
        <v>305.49</v>
      </c>
      <c r="AF95">
        <f>ROUND(((EV95*ROUND(1.15,7))),2)</f>
        <v>1210.95</v>
      </c>
      <c r="AG95">
        <f t="shared" si="87"/>
        <v>0</v>
      </c>
      <c r="AH95">
        <f>((EW95*ROUND(1.15,7)))</f>
        <v>155.25</v>
      </c>
      <c r="AI95">
        <f>((EX95*ROUND(1.25,7)))</f>
        <v>22.650000000000002</v>
      </c>
      <c r="AJ95">
        <f t="shared" si="88"/>
        <v>0</v>
      </c>
      <c r="AK95">
        <v>3528.33</v>
      </c>
      <c r="AL95">
        <v>909.27</v>
      </c>
      <c r="AM95">
        <v>1566.06</v>
      </c>
      <c r="AN95">
        <v>244.39</v>
      </c>
      <c r="AO95">
        <v>1053</v>
      </c>
      <c r="AP95">
        <v>0</v>
      </c>
      <c r="AQ95">
        <v>135</v>
      </c>
      <c r="AR95">
        <v>18.12</v>
      </c>
      <c r="AS95">
        <v>0</v>
      </c>
      <c r="AT95">
        <v>91.8</v>
      </c>
      <c r="AU95">
        <v>49.3</v>
      </c>
      <c r="AV95">
        <v>1</v>
      </c>
      <c r="AW95">
        <v>1</v>
      </c>
      <c r="AZ95">
        <v>1</v>
      </c>
      <c r="BA95">
        <v>36.47</v>
      </c>
      <c r="BB95">
        <v>1</v>
      </c>
      <c r="BC95">
        <v>1</v>
      </c>
      <c r="BH95">
        <v>0</v>
      </c>
      <c r="BI95">
        <v>1</v>
      </c>
      <c r="BJ95" t="s">
        <v>182</v>
      </c>
      <c r="BM95">
        <v>6001</v>
      </c>
      <c r="BN95">
        <v>0</v>
      </c>
      <c r="BO95" t="s">
        <v>32</v>
      </c>
      <c r="BP95">
        <v>1</v>
      </c>
      <c r="BQ95">
        <v>2</v>
      </c>
      <c r="BR95">
        <v>0</v>
      </c>
      <c r="BS95">
        <v>36.47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102</v>
      </c>
      <c r="CA95">
        <v>58</v>
      </c>
      <c r="CE95">
        <v>0</v>
      </c>
      <c r="CF95">
        <v>0</v>
      </c>
      <c r="CG95">
        <v>0</v>
      </c>
      <c r="CM95">
        <v>0</v>
      </c>
      <c r="CN95" t="s">
        <v>480</v>
      </c>
      <c r="CO95">
        <v>0</v>
      </c>
      <c r="CP95">
        <f t="shared" si="89"/>
        <v>562.74</v>
      </c>
      <c r="CQ95">
        <f t="shared" si="90"/>
        <v>909.27</v>
      </c>
      <c r="CR95">
        <f>((((ET95*ROUND(1.25,7)))*BB95-((EU95*ROUND(1.25,7))))+AE95)</f>
        <v>1957.5774999999999</v>
      </c>
      <c r="CS95">
        <f t="shared" si="91"/>
        <v>305.49</v>
      </c>
      <c r="CT95">
        <f t="shared" si="92"/>
        <v>1210.95</v>
      </c>
      <c r="CU95">
        <f t="shared" si="93"/>
        <v>0</v>
      </c>
      <c r="CV95">
        <f t="shared" si="94"/>
        <v>155.25</v>
      </c>
      <c r="CW95">
        <f t="shared" si="95"/>
        <v>22.650000000000002</v>
      </c>
      <c r="CX95">
        <f t="shared" si="96"/>
        <v>0</v>
      </c>
      <c r="CY95">
        <f t="shared" si="97"/>
        <v>192.10986</v>
      </c>
      <c r="CZ95">
        <f t="shared" si="98"/>
        <v>103.17011000000001</v>
      </c>
      <c r="DE95" t="s">
        <v>56</v>
      </c>
      <c r="DF95" t="s">
        <v>56</v>
      </c>
      <c r="DG95" t="s">
        <v>57</v>
      </c>
      <c r="DI95" t="s">
        <v>57</v>
      </c>
      <c r="DJ95" t="s">
        <v>56</v>
      </c>
      <c r="DL95" t="s">
        <v>58</v>
      </c>
      <c r="DM95" t="s">
        <v>59</v>
      </c>
      <c r="DN95">
        <v>0</v>
      </c>
      <c r="DO95">
        <v>0</v>
      </c>
      <c r="DP95">
        <v>1</v>
      </c>
      <c r="DQ95">
        <v>1</v>
      </c>
      <c r="DU95">
        <v>1007</v>
      </c>
      <c r="DV95" t="s">
        <v>48</v>
      </c>
      <c r="DW95" t="s">
        <v>48</v>
      </c>
      <c r="DX95">
        <v>100</v>
      </c>
      <c r="EE95">
        <v>55471642</v>
      </c>
      <c r="EF95">
        <v>2</v>
      </c>
      <c r="EG95" t="s">
        <v>60</v>
      </c>
      <c r="EH95">
        <v>6</v>
      </c>
      <c r="EI95" t="s">
        <v>183</v>
      </c>
      <c r="EJ95">
        <v>1</v>
      </c>
      <c r="EK95">
        <v>6001</v>
      </c>
      <c r="EL95" t="s">
        <v>183</v>
      </c>
      <c r="EM95" t="s">
        <v>184</v>
      </c>
      <c r="EO95" t="s">
        <v>139</v>
      </c>
      <c r="EQ95">
        <v>0</v>
      </c>
      <c r="ER95">
        <v>3528.33</v>
      </c>
      <c r="ES95">
        <v>909.27</v>
      </c>
      <c r="ET95">
        <v>1566.06</v>
      </c>
      <c r="EU95">
        <v>244.39</v>
      </c>
      <c r="EV95">
        <v>1053</v>
      </c>
      <c r="EW95">
        <v>135</v>
      </c>
      <c r="EX95">
        <v>18.12</v>
      </c>
      <c r="EY95">
        <v>0</v>
      </c>
      <c r="FQ95">
        <v>0</v>
      </c>
      <c r="FR95">
        <f t="shared" si="99"/>
        <v>0</v>
      </c>
      <c r="FS95">
        <v>0</v>
      </c>
      <c r="FX95">
        <v>91.8</v>
      </c>
      <c r="FY95">
        <v>49.3</v>
      </c>
      <c r="GD95">
        <v>1</v>
      </c>
      <c r="GF95">
        <v>2073913559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00"/>
        <v>0</v>
      </c>
      <c r="GM95">
        <f t="shared" si="101"/>
        <v>858.02</v>
      </c>
      <c r="GN95">
        <f t="shared" si="102"/>
        <v>858.02</v>
      </c>
      <c r="GO95">
        <f t="shared" si="103"/>
        <v>0</v>
      </c>
      <c r="GP95">
        <f t="shared" si="104"/>
        <v>0</v>
      </c>
      <c r="GR95">
        <v>0</v>
      </c>
      <c r="GS95">
        <v>0</v>
      </c>
      <c r="GT95">
        <v>0</v>
      </c>
      <c r="GV95">
        <f t="shared" si="105"/>
        <v>0</v>
      </c>
      <c r="GW95">
        <v>1</v>
      </c>
      <c r="GX95">
        <f t="shared" si="106"/>
        <v>0</v>
      </c>
      <c r="HA95">
        <v>0</v>
      </c>
      <c r="HB95">
        <v>0</v>
      </c>
      <c r="HC95">
        <f t="shared" si="107"/>
        <v>0</v>
      </c>
      <c r="HI95">
        <f t="shared" si="108"/>
        <v>1537.58</v>
      </c>
      <c r="HJ95">
        <f t="shared" si="109"/>
        <v>6094.5</v>
      </c>
      <c r="HK95">
        <f t="shared" si="110"/>
        <v>7006.25</v>
      </c>
      <c r="HL95">
        <f t="shared" si="111"/>
        <v>3762.62</v>
      </c>
      <c r="HN95" t="s">
        <v>185</v>
      </c>
      <c r="HO95" t="s">
        <v>186</v>
      </c>
      <c r="HP95" t="s">
        <v>183</v>
      </c>
      <c r="HQ95" t="s">
        <v>183</v>
      </c>
      <c r="IK95">
        <v>0</v>
      </c>
    </row>
    <row r="96" spans="1:255" ht="12.75">
      <c r="A96" s="2">
        <v>18</v>
      </c>
      <c r="B96" s="2">
        <v>1</v>
      </c>
      <c r="C96" s="2">
        <v>71</v>
      </c>
      <c r="D96" s="2"/>
      <c r="E96" s="2" t="s">
        <v>187</v>
      </c>
      <c r="F96" s="2" t="s">
        <v>188</v>
      </c>
      <c r="G96" s="2" t="s">
        <v>189</v>
      </c>
      <c r="H96" s="2" t="s">
        <v>160</v>
      </c>
      <c r="I96" s="2">
        <f>I94*J96</f>
        <v>14.077586000000002</v>
      </c>
      <c r="J96" s="2">
        <v>102.01149275362319</v>
      </c>
      <c r="K96" s="2">
        <v>102.011494</v>
      </c>
      <c r="L96" s="2"/>
      <c r="M96" s="2"/>
      <c r="N96" s="2"/>
      <c r="O96" s="2">
        <f t="shared" si="74"/>
        <v>10215.96</v>
      </c>
      <c r="P96" s="2">
        <f t="shared" si="75"/>
        <v>10215.96</v>
      </c>
      <c r="Q96" s="2">
        <f t="shared" si="76"/>
        <v>0</v>
      </c>
      <c r="R96" s="2">
        <f t="shared" si="77"/>
        <v>0</v>
      </c>
      <c r="S96" s="2">
        <f t="shared" si="78"/>
        <v>0</v>
      </c>
      <c r="T96" s="2">
        <f t="shared" si="79"/>
        <v>0</v>
      </c>
      <c r="U96" s="2">
        <f t="shared" si="80"/>
        <v>0</v>
      </c>
      <c r="V96" s="2">
        <f t="shared" si="81"/>
        <v>0</v>
      </c>
      <c r="W96" s="2">
        <f t="shared" si="82"/>
        <v>0</v>
      </c>
      <c r="X96" s="2">
        <f t="shared" si="83"/>
        <v>0</v>
      </c>
      <c r="Y96" s="2">
        <f t="shared" si="84"/>
        <v>0</v>
      </c>
      <c r="Z96" s="2"/>
      <c r="AA96" s="2">
        <v>55463411</v>
      </c>
      <c r="AB96" s="2">
        <f t="shared" si="85"/>
        <v>725.69</v>
      </c>
      <c r="AC96" s="2">
        <f t="shared" si="86"/>
        <v>725.69</v>
      </c>
      <c r="AD96" s="2">
        <f>ROUND((((ET96)-(EU96))+AE96),2)</f>
        <v>0</v>
      </c>
      <c r="AE96" s="2">
        <f aca="true" t="shared" si="118" ref="AE96:AF99">ROUND((EU96),2)</f>
        <v>0</v>
      </c>
      <c r="AF96" s="2">
        <f t="shared" si="118"/>
        <v>0</v>
      </c>
      <c r="AG96" s="2">
        <f t="shared" si="87"/>
        <v>0</v>
      </c>
      <c r="AH96" s="2">
        <f aca="true" t="shared" si="119" ref="AH96:AI99">(EW96)</f>
        <v>0</v>
      </c>
      <c r="AI96" s="2">
        <f t="shared" si="119"/>
        <v>0</v>
      </c>
      <c r="AJ96" s="2">
        <f t="shared" si="88"/>
        <v>0</v>
      </c>
      <c r="AK96" s="2">
        <v>725.69</v>
      </c>
      <c r="AL96" s="2">
        <v>725.69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102</v>
      </c>
      <c r="AU96" s="2">
        <v>58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3</v>
      </c>
      <c r="BE96" s="2" t="s">
        <v>3</v>
      </c>
      <c r="BF96" s="2" t="s">
        <v>3</v>
      </c>
      <c r="BG96" s="2" t="s">
        <v>3</v>
      </c>
      <c r="BH96" s="2">
        <v>3</v>
      </c>
      <c r="BI96" s="2">
        <v>1</v>
      </c>
      <c r="BJ96" s="2" t="s">
        <v>190</v>
      </c>
      <c r="BK96" s="2"/>
      <c r="BL96" s="2"/>
      <c r="BM96" s="2">
        <v>6001</v>
      </c>
      <c r="BN96" s="2">
        <v>0</v>
      </c>
      <c r="BO96" s="2" t="s">
        <v>3</v>
      </c>
      <c r="BP96" s="2">
        <v>0</v>
      </c>
      <c r="BQ96" s="2">
        <v>2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3</v>
      </c>
      <c r="BZ96" s="2">
        <v>102</v>
      </c>
      <c r="CA96" s="2">
        <v>58</v>
      </c>
      <c r="CB96" s="2" t="s">
        <v>3</v>
      </c>
      <c r="CC96" s="2"/>
      <c r="CD96" s="2"/>
      <c r="CE96" s="2">
        <v>0</v>
      </c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3</v>
      </c>
      <c r="CO96" s="2">
        <v>0</v>
      </c>
      <c r="CP96" s="2">
        <f t="shared" si="89"/>
        <v>10215.96</v>
      </c>
      <c r="CQ96" s="2">
        <f t="shared" si="90"/>
        <v>725.69</v>
      </c>
      <c r="CR96" s="2">
        <f>(((ET96)*BB96-(EU96))+AE96)</f>
        <v>0</v>
      </c>
      <c r="CS96" s="2">
        <f t="shared" si="91"/>
        <v>0</v>
      </c>
      <c r="CT96" s="2">
        <f t="shared" si="92"/>
        <v>0</v>
      </c>
      <c r="CU96" s="2">
        <f t="shared" si="93"/>
        <v>0</v>
      </c>
      <c r="CV96" s="2">
        <f t="shared" si="94"/>
        <v>0</v>
      </c>
      <c r="CW96" s="2">
        <f t="shared" si="95"/>
        <v>0</v>
      </c>
      <c r="CX96" s="2">
        <f t="shared" si="96"/>
        <v>0</v>
      </c>
      <c r="CY96" s="2">
        <f t="shared" si="97"/>
        <v>0</v>
      </c>
      <c r="CZ96" s="2">
        <f t="shared" si="98"/>
        <v>0</v>
      </c>
      <c r="DA96" s="2"/>
      <c r="DB96" s="2"/>
      <c r="DC96" s="2" t="s">
        <v>3</v>
      </c>
      <c r="DD96" s="2" t="s">
        <v>3</v>
      </c>
      <c r="DE96" s="2" t="s">
        <v>3</v>
      </c>
      <c r="DF96" s="2" t="s">
        <v>3</v>
      </c>
      <c r="DG96" s="2" t="s">
        <v>3</v>
      </c>
      <c r="DH96" s="2" t="s">
        <v>3</v>
      </c>
      <c r="DI96" s="2" t="s">
        <v>3</v>
      </c>
      <c r="DJ96" s="2" t="s">
        <v>3</v>
      </c>
      <c r="DK96" s="2" t="s">
        <v>3</v>
      </c>
      <c r="DL96" s="2" t="s">
        <v>3</v>
      </c>
      <c r="DM96" s="2" t="s">
        <v>3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1007</v>
      </c>
      <c r="DV96" s="2" t="s">
        <v>160</v>
      </c>
      <c r="DW96" s="2" t="s">
        <v>160</v>
      </c>
      <c r="DX96" s="2">
        <v>1</v>
      </c>
      <c r="DY96" s="2"/>
      <c r="DZ96" s="2" t="s">
        <v>3</v>
      </c>
      <c r="EA96" s="2" t="s">
        <v>3</v>
      </c>
      <c r="EB96" s="2" t="s">
        <v>3</v>
      </c>
      <c r="EC96" s="2" t="s">
        <v>3</v>
      </c>
      <c r="ED96" s="2"/>
      <c r="EE96" s="2">
        <v>55471642</v>
      </c>
      <c r="EF96" s="2">
        <v>2</v>
      </c>
      <c r="EG96" s="2" t="s">
        <v>60</v>
      </c>
      <c r="EH96" s="2">
        <v>6</v>
      </c>
      <c r="EI96" s="2" t="s">
        <v>183</v>
      </c>
      <c r="EJ96" s="2">
        <v>1</v>
      </c>
      <c r="EK96" s="2">
        <v>6001</v>
      </c>
      <c r="EL96" s="2" t="s">
        <v>183</v>
      </c>
      <c r="EM96" s="2" t="s">
        <v>184</v>
      </c>
      <c r="EN96" s="2"/>
      <c r="EO96" s="2" t="s">
        <v>3</v>
      </c>
      <c r="EP96" s="2"/>
      <c r="EQ96" s="2">
        <v>0</v>
      </c>
      <c r="ER96" s="2">
        <v>725.69</v>
      </c>
      <c r="ES96" s="2">
        <v>725.69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99"/>
        <v>0</v>
      </c>
      <c r="FS96" s="2">
        <v>0</v>
      </c>
      <c r="FT96" s="2"/>
      <c r="FU96" s="2"/>
      <c r="FV96" s="2"/>
      <c r="FW96" s="2"/>
      <c r="FX96" s="2">
        <v>102</v>
      </c>
      <c r="FY96" s="2">
        <v>58</v>
      </c>
      <c r="FZ96" s="2"/>
      <c r="GA96" s="2" t="s">
        <v>3</v>
      </c>
      <c r="GB96" s="2"/>
      <c r="GC96" s="2"/>
      <c r="GD96" s="2">
        <v>1</v>
      </c>
      <c r="GE96" s="2"/>
      <c r="GF96" s="2">
        <v>1536174650</v>
      </c>
      <c r="GG96" s="2">
        <v>2</v>
      </c>
      <c r="GH96" s="2">
        <v>1</v>
      </c>
      <c r="GI96" s="2">
        <v>-2</v>
      </c>
      <c r="GJ96" s="2">
        <v>0</v>
      </c>
      <c r="GK96" s="2">
        <v>0</v>
      </c>
      <c r="GL96" s="2">
        <f t="shared" si="100"/>
        <v>0</v>
      </c>
      <c r="GM96" s="2">
        <f t="shared" si="101"/>
        <v>10215.96</v>
      </c>
      <c r="GN96" s="2">
        <f t="shared" si="102"/>
        <v>10215.96</v>
      </c>
      <c r="GO96" s="2">
        <f t="shared" si="103"/>
        <v>0</v>
      </c>
      <c r="GP96" s="2">
        <f t="shared" si="104"/>
        <v>0</v>
      </c>
      <c r="GQ96" s="2"/>
      <c r="GR96" s="2">
        <v>0</v>
      </c>
      <c r="GS96" s="2">
        <v>3</v>
      </c>
      <c r="GT96" s="2">
        <v>0</v>
      </c>
      <c r="GU96" s="2" t="s">
        <v>3</v>
      </c>
      <c r="GV96" s="2">
        <f t="shared" si="105"/>
        <v>0</v>
      </c>
      <c r="GW96" s="2">
        <v>1</v>
      </c>
      <c r="GX96" s="2">
        <f t="shared" si="106"/>
        <v>0</v>
      </c>
      <c r="GY96" s="2"/>
      <c r="GZ96" s="2"/>
      <c r="HA96" s="2">
        <v>0</v>
      </c>
      <c r="HB96" s="2">
        <v>0</v>
      </c>
      <c r="HC96" s="2">
        <f t="shared" si="107"/>
        <v>0</v>
      </c>
      <c r="HD96" s="2"/>
      <c r="HE96" s="2" t="s">
        <v>3</v>
      </c>
      <c r="HF96" s="2" t="s">
        <v>3</v>
      </c>
      <c r="HG96" s="2"/>
      <c r="HH96" s="2"/>
      <c r="HI96" s="2">
        <f t="shared" si="108"/>
        <v>0</v>
      </c>
      <c r="HJ96" s="2">
        <f t="shared" si="109"/>
        <v>0</v>
      </c>
      <c r="HK96" s="2">
        <f t="shared" si="110"/>
        <v>0</v>
      </c>
      <c r="HL96" s="2">
        <f t="shared" si="111"/>
        <v>0</v>
      </c>
      <c r="HM96" s="2" t="s">
        <v>3</v>
      </c>
      <c r="HN96" s="2" t="s">
        <v>185</v>
      </c>
      <c r="HO96" s="2" t="s">
        <v>186</v>
      </c>
      <c r="HP96" s="2" t="s">
        <v>183</v>
      </c>
      <c r="HQ96" s="2" t="s">
        <v>183</v>
      </c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45" ht="12.75">
      <c r="A97">
        <v>18</v>
      </c>
      <c r="B97">
        <v>1</v>
      </c>
      <c r="C97">
        <v>80</v>
      </c>
      <c r="E97" t="s">
        <v>187</v>
      </c>
      <c r="F97" t="s">
        <v>188</v>
      </c>
      <c r="G97" t="s">
        <v>189</v>
      </c>
      <c r="H97" t="s">
        <v>160</v>
      </c>
      <c r="I97">
        <f>I95*J97</f>
        <v>14.077586000000002</v>
      </c>
      <c r="J97">
        <v>102.01149275362319</v>
      </c>
      <c r="K97">
        <v>102.011494</v>
      </c>
      <c r="O97">
        <f t="shared" si="74"/>
        <v>10215.96</v>
      </c>
      <c r="P97">
        <f t="shared" si="75"/>
        <v>10215.96</v>
      </c>
      <c r="Q97">
        <f t="shared" si="76"/>
        <v>0</v>
      </c>
      <c r="R97">
        <f t="shared" si="77"/>
        <v>0</v>
      </c>
      <c r="S97">
        <f t="shared" si="78"/>
        <v>0</v>
      </c>
      <c r="T97">
        <f t="shared" si="79"/>
        <v>0</v>
      </c>
      <c r="U97">
        <f t="shared" si="80"/>
        <v>0</v>
      </c>
      <c r="V97">
        <f t="shared" si="81"/>
        <v>0</v>
      </c>
      <c r="W97">
        <f t="shared" si="82"/>
        <v>0</v>
      </c>
      <c r="X97">
        <f t="shared" si="83"/>
        <v>0</v>
      </c>
      <c r="Y97">
        <f t="shared" si="84"/>
        <v>0</v>
      </c>
      <c r="AA97">
        <v>55463412</v>
      </c>
      <c r="AB97">
        <f t="shared" si="85"/>
        <v>725.69</v>
      </c>
      <c r="AC97">
        <f t="shared" si="86"/>
        <v>725.69</v>
      </c>
      <c r="AD97">
        <f>ROUND((((ET97)-(EU97))+AE97),2)</f>
        <v>0</v>
      </c>
      <c r="AE97">
        <f t="shared" si="118"/>
        <v>0</v>
      </c>
      <c r="AF97">
        <f t="shared" si="118"/>
        <v>0</v>
      </c>
      <c r="AG97">
        <f t="shared" si="87"/>
        <v>0</v>
      </c>
      <c r="AH97">
        <f t="shared" si="119"/>
        <v>0</v>
      </c>
      <c r="AI97">
        <f t="shared" si="119"/>
        <v>0</v>
      </c>
      <c r="AJ97">
        <f t="shared" si="88"/>
        <v>0</v>
      </c>
      <c r="AK97">
        <v>725.69</v>
      </c>
      <c r="AL97">
        <v>725.69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102</v>
      </c>
      <c r="AU97">
        <v>58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1</v>
      </c>
      <c r="BH97">
        <v>3</v>
      </c>
      <c r="BI97">
        <v>1</v>
      </c>
      <c r="BJ97" t="s">
        <v>190</v>
      </c>
      <c r="BM97">
        <v>6001</v>
      </c>
      <c r="BN97">
        <v>0</v>
      </c>
      <c r="BO97" t="s">
        <v>32</v>
      </c>
      <c r="BP97">
        <v>1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102</v>
      </c>
      <c r="CA97">
        <v>58</v>
      </c>
      <c r="CE97">
        <v>0</v>
      </c>
      <c r="CF97">
        <v>0</v>
      </c>
      <c r="CG97">
        <v>0</v>
      </c>
      <c r="CM97">
        <v>0</v>
      </c>
      <c r="CO97">
        <v>0</v>
      </c>
      <c r="CP97">
        <f t="shared" si="89"/>
        <v>10215.96</v>
      </c>
      <c r="CQ97">
        <f t="shared" si="90"/>
        <v>725.69</v>
      </c>
      <c r="CR97">
        <f>(((ET97)*BB97-(EU97))+AE97)</f>
        <v>0</v>
      </c>
      <c r="CS97">
        <f t="shared" si="91"/>
        <v>0</v>
      </c>
      <c r="CT97">
        <f t="shared" si="92"/>
        <v>0</v>
      </c>
      <c r="CU97">
        <f t="shared" si="93"/>
        <v>0</v>
      </c>
      <c r="CV97">
        <f t="shared" si="94"/>
        <v>0</v>
      </c>
      <c r="CW97">
        <f t="shared" si="95"/>
        <v>0</v>
      </c>
      <c r="CX97">
        <f t="shared" si="96"/>
        <v>0</v>
      </c>
      <c r="CY97">
        <f t="shared" si="97"/>
        <v>0</v>
      </c>
      <c r="CZ97">
        <f t="shared" si="98"/>
        <v>0</v>
      </c>
      <c r="DN97">
        <v>0</v>
      </c>
      <c r="DO97">
        <v>0</v>
      </c>
      <c r="DP97">
        <v>1</v>
      </c>
      <c r="DQ97">
        <v>1</v>
      </c>
      <c r="DU97">
        <v>1007</v>
      </c>
      <c r="DV97" t="s">
        <v>160</v>
      </c>
      <c r="DW97" t="s">
        <v>160</v>
      </c>
      <c r="DX97">
        <v>1</v>
      </c>
      <c r="EE97">
        <v>55471642</v>
      </c>
      <c r="EF97">
        <v>2</v>
      </c>
      <c r="EG97" t="s">
        <v>60</v>
      </c>
      <c r="EH97">
        <v>6</v>
      </c>
      <c r="EI97" t="s">
        <v>183</v>
      </c>
      <c r="EJ97">
        <v>1</v>
      </c>
      <c r="EK97">
        <v>6001</v>
      </c>
      <c r="EL97" t="s">
        <v>183</v>
      </c>
      <c r="EM97" t="s">
        <v>184</v>
      </c>
      <c r="EQ97">
        <v>0</v>
      </c>
      <c r="ER97">
        <v>725.69</v>
      </c>
      <c r="ES97">
        <v>725.69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99"/>
        <v>0</v>
      </c>
      <c r="FS97">
        <v>0</v>
      </c>
      <c r="FX97">
        <v>102</v>
      </c>
      <c r="FY97">
        <v>58</v>
      </c>
      <c r="GD97">
        <v>1</v>
      </c>
      <c r="GF97">
        <v>1536174650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00"/>
        <v>0</v>
      </c>
      <c r="GM97">
        <f t="shared" si="101"/>
        <v>10215.96</v>
      </c>
      <c r="GN97">
        <f t="shared" si="102"/>
        <v>10215.96</v>
      </c>
      <c r="GO97">
        <f t="shared" si="103"/>
        <v>0</v>
      </c>
      <c r="GP97">
        <f t="shared" si="104"/>
        <v>0</v>
      </c>
      <c r="GR97">
        <v>0</v>
      </c>
      <c r="GS97">
        <v>3</v>
      </c>
      <c r="GT97">
        <v>0</v>
      </c>
      <c r="GV97">
        <f t="shared" si="105"/>
        <v>0</v>
      </c>
      <c r="GW97">
        <v>1</v>
      </c>
      <c r="GX97">
        <f t="shared" si="106"/>
        <v>0</v>
      </c>
      <c r="HA97">
        <v>0</v>
      </c>
      <c r="HB97">
        <v>0</v>
      </c>
      <c r="HC97">
        <f t="shared" si="107"/>
        <v>0</v>
      </c>
      <c r="HI97">
        <f t="shared" si="108"/>
        <v>0</v>
      </c>
      <c r="HJ97">
        <f t="shared" si="109"/>
        <v>0</v>
      </c>
      <c r="HK97">
        <f t="shared" si="110"/>
        <v>0</v>
      </c>
      <c r="HL97">
        <f t="shared" si="111"/>
        <v>0</v>
      </c>
      <c r="HN97" t="s">
        <v>185</v>
      </c>
      <c r="HO97" t="s">
        <v>186</v>
      </c>
      <c r="HP97" t="s">
        <v>183</v>
      </c>
      <c r="HQ97" t="s">
        <v>183</v>
      </c>
      <c r="IK97">
        <v>0</v>
      </c>
    </row>
    <row r="98" spans="1:255" ht="12.75">
      <c r="A98" s="2">
        <v>18</v>
      </c>
      <c r="B98" s="2">
        <v>1</v>
      </c>
      <c r="C98" s="2">
        <v>70</v>
      </c>
      <c r="D98" s="2"/>
      <c r="E98" s="2" t="s">
        <v>191</v>
      </c>
      <c r="F98" s="2" t="s">
        <v>192</v>
      </c>
      <c r="G98" s="2" t="s">
        <v>193</v>
      </c>
      <c r="H98" s="2" t="s">
        <v>194</v>
      </c>
      <c r="I98" s="2">
        <f>I94*J98</f>
        <v>24</v>
      </c>
      <c r="J98" s="2">
        <v>173.91304347826085</v>
      </c>
      <c r="K98" s="2">
        <v>173.913043</v>
      </c>
      <c r="L98" s="2"/>
      <c r="M98" s="2"/>
      <c r="N98" s="2"/>
      <c r="O98" s="2">
        <f t="shared" si="74"/>
        <v>447.12</v>
      </c>
      <c r="P98" s="2">
        <f t="shared" si="75"/>
        <v>447.12</v>
      </c>
      <c r="Q98" s="2">
        <f t="shared" si="76"/>
        <v>0</v>
      </c>
      <c r="R98" s="2">
        <f t="shared" si="77"/>
        <v>0</v>
      </c>
      <c r="S98" s="2">
        <f t="shared" si="78"/>
        <v>0</v>
      </c>
      <c r="T98" s="2">
        <f t="shared" si="79"/>
        <v>0</v>
      </c>
      <c r="U98" s="2">
        <f t="shared" si="80"/>
        <v>0</v>
      </c>
      <c r="V98" s="2">
        <f t="shared" si="81"/>
        <v>0</v>
      </c>
      <c r="W98" s="2">
        <f t="shared" si="82"/>
        <v>0</v>
      </c>
      <c r="X98" s="2">
        <f t="shared" si="83"/>
        <v>0</v>
      </c>
      <c r="Y98" s="2">
        <f t="shared" si="84"/>
        <v>0</v>
      </c>
      <c r="Z98" s="2"/>
      <c r="AA98" s="2">
        <v>55463411</v>
      </c>
      <c r="AB98" s="2">
        <f t="shared" si="85"/>
        <v>18.63</v>
      </c>
      <c r="AC98" s="2">
        <f t="shared" si="86"/>
        <v>18.63</v>
      </c>
      <c r="AD98" s="2">
        <f>ROUND((((ET98)-(EU98))+AE98),2)</f>
        <v>0</v>
      </c>
      <c r="AE98" s="2">
        <f t="shared" si="118"/>
        <v>0</v>
      </c>
      <c r="AF98" s="2">
        <f t="shared" si="118"/>
        <v>0</v>
      </c>
      <c r="AG98" s="2">
        <f t="shared" si="87"/>
        <v>0</v>
      </c>
      <c r="AH98" s="2">
        <f t="shared" si="119"/>
        <v>0</v>
      </c>
      <c r="AI98" s="2">
        <f t="shared" si="119"/>
        <v>0</v>
      </c>
      <c r="AJ98" s="2">
        <f t="shared" si="88"/>
        <v>0</v>
      </c>
      <c r="AK98" s="2">
        <v>18.63</v>
      </c>
      <c r="AL98" s="2">
        <v>18.63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102</v>
      </c>
      <c r="AU98" s="2">
        <v>58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3</v>
      </c>
      <c r="BE98" s="2" t="s">
        <v>3</v>
      </c>
      <c r="BF98" s="2" t="s">
        <v>3</v>
      </c>
      <c r="BG98" s="2" t="s">
        <v>3</v>
      </c>
      <c r="BH98" s="2">
        <v>3</v>
      </c>
      <c r="BI98" s="2">
        <v>1</v>
      </c>
      <c r="BJ98" s="2" t="s">
        <v>195</v>
      </c>
      <c r="BK98" s="2"/>
      <c r="BL98" s="2"/>
      <c r="BM98" s="2">
        <v>6001</v>
      </c>
      <c r="BN98" s="2">
        <v>0</v>
      </c>
      <c r="BO98" s="2" t="s">
        <v>3</v>
      </c>
      <c r="BP98" s="2">
        <v>0</v>
      </c>
      <c r="BQ98" s="2">
        <v>2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3</v>
      </c>
      <c r="BZ98" s="2">
        <v>102</v>
      </c>
      <c r="CA98" s="2">
        <v>58</v>
      </c>
      <c r="CB98" s="2" t="s">
        <v>3</v>
      </c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3</v>
      </c>
      <c r="CO98" s="2">
        <v>0</v>
      </c>
      <c r="CP98" s="2">
        <f t="shared" si="89"/>
        <v>447.12</v>
      </c>
      <c r="CQ98" s="2">
        <f t="shared" si="90"/>
        <v>18.63</v>
      </c>
      <c r="CR98" s="2">
        <f>(((ET98)*BB98-(EU98))+AE98)</f>
        <v>0</v>
      </c>
      <c r="CS98" s="2">
        <f t="shared" si="91"/>
        <v>0</v>
      </c>
      <c r="CT98" s="2">
        <f t="shared" si="92"/>
        <v>0</v>
      </c>
      <c r="CU98" s="2">
        <f t="shared" si="93"/>
        <v>0</v>
      </c>
      <c r="CV98" s="2">
        <f t="shared" si="94"/>
        <v>0</v>
      </c>
      <c r="CW98" s="2">
        <f t="shared" si="95"/>
        <v>0</v>
      </c>
      <c r="CX98" s="2">
        <f t="shared" si="96"/>
        <v>0</v>
      </c>
      <c r="CY98" s="2">
        <f t="shared" si="97"/>
        <v>0</v>
      </c>
      <c r="CZ98" s="2">
        <f t="shared" si="98"/>
        <v>0</v>
      </c>
      <c r="DA98" s="2"/>
      <c r="DB98" s="2"/>
      <c r="DC98" s="2" t="s">
        <v>3</v>
      </c>
      <c r="DD98" s="2" t="s">
        <v>3</v>
      </c>
      <c r="DE98" s="2" t="s">
        <v>3</v>
      </c>
      <c r="DF98" s="2" t="s">
        <v>3</v>
      </c>
      <c r="DG98" s="2" t="s">
        <v>3</v>
      </c>
      <c r="DH98" s="2" t="s">
        <v>3</v>
      </c>
      <c r="DI98" s="2" t="s">
        <v>3</v>
      </c>
      <c r="DJ98" s="2" t="s">
        <v>3</v>
      </c>
      <c r="DK98" s="2" t="s">
        <v>3</v>
      </c>
      <c r="DL98" s="2" t="s">
        <v>3</v>
      </c>
      <c r="DM98" s="2" t="s">
        <v>3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194</v>
      </c>
      <c r="DW98" s="2" t="s">
        <v>194</v>
      </c>
      <c r="DX98" s="2">
        <v>1</v>
      </c>
      <c r="DY98" s="2"/>
      <c r="DZ98" s="2" t="s">
        <v>3</v>
      </c>
      <c r="EA98" s="2" t="s">
        <v>3</v>
      </c>
      <c r="EB98" s="2" t="s">
        <v>3</v>
      </c>
      <c r="EC98" s="2" t="s">
        <v>3</v>
      </c>
      <c r="ED98" s="2"/>
      <c r="EE98" s="2">
        <v>55471642</v>
      </c>
      <c r="EF98" s="2">
        <v>2</v>
      </c>
      <c r="EG98" s="2" t="s">
        <v>60</v>
      </c>
      <c r="EH98" s="2">
        <v>6</v>
      </c>
      <c r="EI98" s="2" t="s">
        <v>183</v>
      </c>
      <c r="EJ98" s="2">
        <v>1</v>
      </c>
      <c r="EK98" s="2">
        <v>6001</v>
      </c>
      <c r="EL98" s="2" t="s">
        <v>183</v>
      </c>
      <c r="EM98" s="2" t="s">
        <v>184</v>
      </c>
      <c r="EN98" s="2"/>
      <c r="EO98" s="2" t="s">
        <v>3</v>
      </c>
      <c r="EP98" s="2"/>
      <c r="EQ98" s="2">
        <v>0</v>
      </c>
      <c r="ER98" s="2">
        <v>18.63</v>
      </c>
      <c r="ES98" s="2">
        <v>18.63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99"/>
        <v>0</v>
      </c>
      <c r="FS98" s="2">
        <v>0</v>
      </c>
      <c r="FT98" s="2"/>
      <c r="FU98" s="2"/>
      <c r="FV98" s="2"/>
      <c r="FW98" s="2"/>
      <c r="FX98" s="2">
        <v>102</v>
      </c>
      <c r="FY98" s="2">
        <v>58</v>
      </c>
      <c r="FZ98" s="2"/>
      <c r="GA98" s="2" t="s">
        <v>3</v>
      </c>
      <c r="GB98" s="2"/>
      <c r="GC98" s="2"/>
      <c r="GD98" s="2">
        <v>1</v>
      </c>
      <c r="GE98" s="2"/>
      <c r="GF98" s="2">
        <v>-1985651722</v>
      </c>
      <c r="GG98" s="2">
        <v>2</v>
      </c>
      <c r="GH98" s="2">
        <v>1</v>
      </c>
      <c r="GI98" s="2">
        <v>-2</v>
      </c>
      <c r="GJ98" s="2">
        <v>0</v>
      </c>
      <c r="GK98" s="2">
        <v>0</v>
      </c>
      <c r="GL98" s="2">
        <f t="shared" si="100"/>
        <v>0</v>
      </c>
      <c r="GM98" s="2">
        <f t="shared" si="101"/>
        <v>447.12</v>
      </c>
      <c r="GN98" s="2">
        <f t="shared" si="102"/>
        <v>447.12</v>
      </c>
      <c r="GO98" s="2">
        <f t="shared" si="103"/>
        <v>0</v>
      </c>
      <c r="GP98" s="2">
        <f t="shared" si="104"/>
        <v>0</v>
      </c>
      <c r="GQ98" s="2"/>
      <c r="GR98" s="2">
        <v>0</v>
      </c>
      <c r="GS98" s="2">
        <v>3</v>
      </c>
      <c r="GT98" s="2">
        <v>0</v>
      </c>
      <c r="GU98" s="2" t="s">
        <v>3</v>
      </c>
      <c r="GV98" s="2">
        <f t="shared" si="105"/>
        <v>0</v>
      </c>
      <c r="GW98" s="2">
        <v>1</v>
      </c>
      <c r="GX98" s="2">
        <f t="shared" si="106"/>
        <v>0</v>
      </c>
      <c r="GY98" s="2"/>
      <c r="GZ98" s="2"/>
      <c r="HA98" s="2">
        <v>0</v>
      </c>
      <c r="HB98" s="2">
        <v>0</v>
      </c>
      <c r="HC98" s="2">
        <f t="shared" si="107"/>
        <v>0</v>
      </c>
      <c r="HD98" s="2"/>
      <c r="HE98" s="2" t="s">
        <v>3</v>
      </c>
      <c r="HF98" s="2" t="s">
        <v>3</v>
      </c>
      <c r="HG98" s="2"/>
      <c r="HH98" s="2"/>
      <c r="HI98" s="2">
        <f t="shared" si="108"/>
        <v>0</v>
      </c>
      <c r="HJ98" s="2">
        <f t="shared" si="109"/>
        <v>0</v>
      </c>
      <c r="HK98" s="2">
        <f t="shared" si="110"/>
        <v>0</v>
      </c>
      <c r="HL98" s="2">
        <f t="shared" si="111"/>
        <v>0</v>
      </c>
      <c r="HM98" s="2" t="s">
        <v>3</v>
      </c>
      <c r="HN98" s="2" t="s">
        <v>185</v>
      </c>
      <c r="HO98" s="2" t="s">
        <v>186</v>
      </c>
      <c r="HP98" s="2" t="s">
        <v>183</v>
      </c>
      <c r="HQ98" s="2" t="s">
        <v>183</v>
      </c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45" ht="12.75">
      <c r="A99">
        <v>18</v>
      </c>
      <c r="B99">
        <v>1</v>
      </c>
      <c r="C99">
        <v>79</v>
      </c>
      <c r="E99" t="s">
        <v>191</v>
      </c>
      <c r="F99" t="s">
        <v>192</v>
      </c>
      <c r="G99" t="s">
        <v>193</v>
      </c>
      <c r="H99" t="s">
        <v>194</v>
      </c>
      <c r="I99">
        <f>I95*J99</f>
        <v>24</v>
      </c>
      <c r="J99">
        <v>173.91304347826085</v>
      </c>
      <c r="K99">
        <v>173.913043</v>
      </c>
      <c r="O99">
        <f t="shared" si="74"/>
        <v>447.12</v>
      </c>
      <c r="P99">
        <f t="shared" si="75"/>
        <v>447.12</v>
      </c>
      <c r="Q99">
        <f t="shared" si="76"/>
        <v>0</v>
      </c>
      <c r="R99">
        <f t="shared" si="77"/>
        <v>0</v>
      </c>
      <c r="S99">
        <f t="shared" si="78"/>
        <v>0</v>
      </c>
      <c r="T99">
        <f t="shared" si="79"/>
        <v>0</v>
      </c>
      <c r="U99">
        <f t="shared" si="80"/>
        <v>0</v>
      </c>
      <c r="V99">
        <f t="shared" si="81"/>
        <v>0</v>
      </c>
      <c r="W99">
        <f t="shared" si="82"/>
        <v>0</v>
      </c>
      <c r="X99">
        <f t="shared" si="83"/>
        <v>0</v>
      </c>
      <c r="Y99">
        <f t="shared" si="84"/>
        <v>0</v>
      </c>
      <c r="AA99">
        <v>55463412</v>
      </c>
      <c r="AB99">
        <f t="shared" si="85"/>
        <v>18.63</v>
      </c>
      <c r="AC99">
        <f t="shared" si="86"/>
        <v>18.63</v>
      </c>
      <c r="AD99">
        <f>ROUND((((ET99)-(EU99))+AE99),2)</f>
        <v>0</v>
      </c>
      <c r="AE99">
        <f t="shared" si="118"/>
        <v>0</v>
      </c>
      <c r="AF99">
        <f t="shared" si="118"/>
        <v>0</v>
      </c>
      <c r="AG99">
        <f t="shared" si="87"/>
        <v>0</v>
      </c>
      <c r="AH99">
        <f t="shared" si="119"/>
        <v>0</v>
      </c>
      <c r="AI99">
        <f t="shared" si="119"/>
        <v>0</v>
      </c>
      <c r="AJ99">
        <f t="shared" si="88"/>
        <v>0</v>
      </c>
      <c r="AK99">
        <v>18.63</v>
      </c>
      <c r="AL99">
        <v>18.63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102</v>
      </c>
      <c r="AU99">
        <v>58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1</v>
      </c>
      <c r="BH99">
        <v>3</v>
      </c>
      <c r="BI99">
        <v>1</v>
      </c>
      <c r="BJ99" t="s">
        <v>195</v>
      </c>
      <c r="BM99">
        <v>6001</v>
      </c>
      <c r="BN99">
        <v>0</v>
      </c>
      <c r="BO99" t="s">
        <v>32</v>
      </c>
      <c r="BP99">
        <v>1</v>
      </c>
      <c r="BQ99">
        <v>2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102</v>
      </c>
      <c r="CA99">
        <v>58</v>
      </c>
      <c r="CE99">
        <v>0</v>
      </c>
      <c r="CF99">
        <v>0</v>
      </c>
      <c r="CG99">
        <v>0</v>
      </c>
      <c r="CM99">
        <v>0</v>
      </c>
      <c r="CO99">
        <v>0</v>
      </c>
      <c r="CP99">
        <f t="shared" si="89"/>
        <v>447.12</v>
      </c>
      <c r="CQ99">
        <f t="shared" si="90"/>
        <v>18.63</v>
      </c>
      <c r="CR99">
        <f>(((ET99)*BB99-(EU99))+AE99)</f>
        <v>0</v>
      </c>
      <c r="CS99">
        <f t="shared" si="91"/>
        <v>0</v>
      </c>
      <c r="CT99">
        <f t="shared" si="92"/>
        <v>0</v>
      </c>
      <c r="CU99">
        <f t="shared" si="93"/>
        <v>0</v>
      </c>
      <c r="CV99">
        <f t="shared" si="94"/>
        <v>0</v>
      </c>
      <c r="CW99">
        <f t="shared" si="95"/>
        <v>0</v>
      </c>
      <c r="CX99">
        <f t="shared" si="96"/>
        <v>0</v>
      </c>
      <c r="CY99">
        <f t="shared" si="97"/>
        <v>0</v>
      </c>
      <c r="CZ99">
        <f t="shared" si="98"/>
        <v>0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194</v>
      </c>
      <c r="DW99" t="s">
        <v>194</v>
      </c>
      <c r="DX99">
        <v>1</v>
      </c>
      <c r="EE99">
        <v>55471642</v>
      </c>
      <c r="EF99">
        <v>2</v>
      </c>
      <c r="EG99" t="s">
        <v>60</v>
      </c>
      <c r="EH99">
        <v>6</v>
      </c>
      <c r="EI99" t="s">
        <v>183</v>
      </c>
      <c r="EJ99">
        <v>1</v>
      </c>
      <c r="EK99">
        <v>6001</v>
      </c>
      <c r="EL99" t="s">
        <v>183</v>
      </c>
      <c r="EM99" t="s">
        <v>184</v>
      </c>
      <c r="EQ99">
        <v>0</v>
      </c>
      <c r="ER99">
        <v>18.63</v>
      </c>
      <c r="ES99">
        <v>18.63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99"/>
        <v>0</v>
      </c>
      <c r="FS99">
        <v>0</v>
      </c>
      <c r="FX99">
        <v>102</v>
      </c>
      <c r="FY99">
        <v>58</v>
      </c>
      <c r="GD99">
        <v>1</v>
      </c>
      <c r="GF99">
        <v>-1985651722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si="100"/>
        <v>0</v>
      </c>
      <c r="GM99">
        <f t="shared" si="101"/>
        <v>447.12</v>
      </c>
      <c r="GN99">
        <f t="shared" si="102"/>
        <v>447.12</v>
      </c>
      <c r="GO99">
        <f t="shared" si="103"/>
        <v>0</v>
      </c>
      <c r="GP99">
        <f t="shared" si="104"/>
        <v>0</v>
      </c>
      <c r="GR99">
        <v>0</v>
      </c>
      <c r="GS99">
        <v>0</v>
      </c>
      <c r="GT99">
        <v>0</v>
      </c>
      <c r="GV99">
        <f t="shared" si="105"/>
        <v>0</v>
      </c>
      <c r="GW99">
        <v>1</v>
      </c>
      <c r="GX99">
        <f t="shared" si="106"/>
        <v>0</v>
      </c>
      <c r="HA99">
        <v>0</v>
      </c>
      <c r="HB99">
        <v>0</v>
      </c>
      <c r="HC99">
        <f t="shared" si="107"/>
        <v>0</v>
      </c>
      <c r="HI99">
        <f t="shared" si="108"/>
        <v>0</v>
      </c>
      <c r="HJ99">
        <f t="shared" si="109"/>
        <v>0</v>
      </c>
      <c r="HK99">
        <f t="shared" si="110"/>
        <v>0</v>
      </c>
      <c r="HL99">
        <f t="shared" si="111"/>
        <v>0</v>
      </c>
      <c r="HN99" t="s">
        <v>185</v>
      </c>
      <c r="HO99" t="s">
        <v>186</v>
      </c>
      <c r="HP99" t="s">
        <v>183</v>
      </c>
      <c r="HQ99" t="s">
        <v>183</v>
      </c>
      <c r="IK99">
        <v>0</v>
      </c>
    </row>
    <row r="100" spans="1:255" ht="12.75">
      <c r="A100" s="2">
        <v>17</v>
      </c>
      <c r="B100" s="2">
        <v>1</v>
      </c>
      <c r="C100" s="2">
        <f>ROW(SmtRes!A85)</f>
        <v>85</v>
      </c>
      <c r="D100" s="2">
        <f>ROW(EtalonRes!A83)</f>
        <v>83</v>
      </c>
      <c r="E100" s="2" t="s">
        <v>196</v>
      </c>
      <c r="F100" s="2" t="s">
        <v>197</v>
      </c>
      <c r="G100" s="2" t="s">
        <v>198</v>
      </c>
      <c r="H100" s="2" t="s">
        <v>199</v>
      </c>
      <c r="I100" s="2">
        <f>ROUND(173.3/1000,7)</f>
        <v>0.1733</v>
      </c>
      <c r="J100" s="2">
        <v>0</v>
      </c>
      <c r="K100" s="2">
        <f>ROUND(173.3/1000,7)</f>
        <v>0.1733</v>
      </c>
      <c r="L100" s="2"/>
      <c r="M100" s="2"/>
      <c r="N100" s="2"/>
      <c r="O100" s="2">
        <f t="shared" si="74"/>
        <v>47.27</v>
      </c>
      <c r="P100" s="2">
        <f t="shared" si="75"/>
        <v>0</v>
      </c>
      <c r="Q100" s="2">
        <f t="shared" si="76"/>
        <v>6.06</v>
      </c>
      <c r="R100" s="2">
        <f t="shared" si="77"/>
        <v>0.86</v>
      </c>
      <c r="S100" s="2">
        <f t="shared" si="78"/>
        <v>41.21</v>
      </c>
      <c r="T100" s="2">
        <f t="shared" si="79"/>
        <v>0</v>
      </c>
      <c r="U100" s="2">
        <f t="shared" si="80"/>
        <v>4.543926</v>
      </c>
      <c r="V100" s="2">
        <f t="shared" si="81"/>
        <v>0.06932</v>
      </c>
      <c r="W100" s="2">
        <f t="shared" si="82"/>
        <v>0</v>
      </c>
      <c r="X100" s="2">
        <f t="shared" si="83"/>
        <v>55.66</v>
      </c>
      <c r="Y100" s="2">
        <f t="shared" si="84"/>
        <v>47.92</v>
      </c>
      <c r="Z100" s="2"/>
      <c r="AA100" s="2">
        <v>55463411</v>
      </c>
      <c r="AB100" s="2">
        <f t="shared" si="85"/>
        <v>272.8</v>
      </c>
      <c r="AC100" s="2">
        <f>ROUND(((ES100*ROUND(2,7))),2)</f>
        <v>0</v>
      </c>
      <c r="AD100" s="2">
        <f>ROUND(((((ET100*ROUND((1.25*2),7)))-((EU100*ROUND((1.25*2),7))))+AE100),2)</f>
        <v>34.98</v>
      </c>
      <c r="AE100" s="2">
        <f>ROUND(((EU100*ROUND((1.25*2),7))),2)</f>
        <v>4.98</v>
      </c>
      <c r="AF100" s="2">
        <f>ROUND(((EV100*ROUND((1.15*2),7))),2)</f>
        <v>237.82</v>
      </c>
      <c r="AG100" s="2">
        <f t="shared" si="87"/>
        <v>0</v>
      </c>
      <c r="AH100" s="2">
        <f>((EW100*ROUND((1.15*2),7)))</f>
        <v>26.22</v>
      </c>
      <c r="AI100" s="2">
        <f>((EX100*ROUND((1.25*2),7)))</f>
        <v>0.4</v>
      </c>
      <c r="AJ100" s="2">
        <f t="shared" si="88"/>
        <v>0</v>
      </c>
      <c r="AK100" s="2">
        <v>117.39</v>
      </c>
      <c r="AL100" s="2">
        <v>0</v>
      </c>
      <c r="AM100" s="2">
        <v>13.99</v>
      </c>
      <c r="AN100" s="2">
        <v>1.99</v>
      </c>
      <c r="AO100" s="2">
        <v>103.4</v>
      </c>
      <c r="AP100" s="2">
        <v>0</v>
      </c>
      <c r="AQ100" s="2">
        <v>11.4</v>
      </c>
      <c r="AR100" s="2">
        <v>0.16</v>
      </c>
      <c r="AS100" s="2">
        <v>0</v>
      </c>
      <c r="AT100" s="2">
        <v>132.3</v>
      </c>
      <c r="AU100" s="2">
        <v>113.9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3</v>
      </c>
      <c r="BE100" s="2" t="s">
        <v>3</v>
      </c>
      <c r="BF100" s="2" t="s">
        <v>3</v>
      </c>
      <c r="BG100" s="2" t="s">
        <v>3</v>
      </c>
      <c r="BH100" s="2">
        <v>0</v>
      </c>
      <c r="BI100" s="2">
        <v>1</v>
      </c>
      <c r="BJ100" s="2" t="s">
        <v>200</v>
      </c>
      <c r="BK100" s="2"/>
      <c r="BL100" s="2"/>
      <c r="BM100" s="2">
        <v>27001</v>
      </c>
      <c r="BN100" s="2">
        <v>0</v>
      </c>
      <c r="BO100" s="2" t="s">
        <v>3</v>
      </c>
      <c r="BP100" s="2">
        <v>0</v>
      </c>
      <c r="BQ100" s="2">
        <v>2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3</v>
      </c>
      <c r="BZ100" s="2">
        <v>147</v>
      </c>
      <c r="CA100" s="2">
        <v>134</v>
      </c>
      <c r="CB100" s="2" t="s">
        <v>3</v>
      </c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480</v>
      </c>
      <c r="CO100" s="2">
        <v>0</v>
      </c>
      <c r="CP100" s="2">
        <f t="shared" si="89"/>
        <v>47.27</v>
      </c>
      <c r="CQ100" s="2">
        <f t="shared" si="90"/>
        <v>0</v>
      </c>
      <c r="CR100" s="2">
        <f>((((ET100*ROUND((1.25*2),7)))*BB100-((EU100*ROUND((1.25*2),7))))+AE100)</f>
        <v>34.980000000000004</v>
      </c>
      <c r="CS100" s="2">
        <f t="shared" si="91"/>
        <v>4.98</v>
      </c>
      <c r="CT100" s="2">
        <f t="shared" si="92"/>
        <v>237.82</v>
      </c>
      <c r="CU100" s="2">
        <f t="shared" si="93"/>
        <v>0</v>
      </c>
      <c r="CV100" s="2">
        <f t="shared" si="94"/>
        <v>26.22</v>
      </c>
      <c r="CW100" s="2">
        <f t="shared" si="95"/>
        <v>0.4</v>
      </c>
      <c r="CX100" s="2">
        <f t="shared" si="96"/>
        <v>0</v>
      </c>
      <c r="CY100" s="2">
        <f t="shared" si="97"/>
        <v>55.65861000000001</v>
      </c>
      <c r="CZ100" s="2">
        <f t="shared" si="98"/>
        <v>47.91773</v>
      </c>
      <c r="DA100" s="2"/>
      <c r="DB100" s="2"/>
      <c r="DC100" s="2" t="s">
        <v>3</v>
      </c>
      <c r="DD100" s="2" t="s">
        <v>201</v>
      </c>
      <c r="DE100" s="2" t="s">
        <v>202</v>
      </c>
      <c r="DF100" s="2" t="s">
        <v>202</v>
      </c>
      <c r="DG100" s="2" t="s">
        <v>203</v>
      </c>
      <c r="DH100" s="2" t="s">
        <v>3</v>
      </c>
      <c r="DI100" s="2" t="s">
        <v>203</v>
      </c>
      <c r="DJ100" s="2" t="s">
        <v>202</v>
      </c>
      <c r="DK100" s="2" t="s">
        <v>3</v>
      </c>
      <c r="DL100" s="2" t="s">
        <v>58</v>
      </c>
      <c r="DM100" s="2" t="s">
        <v>59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1005</v>
      </c>
      <c r="DV100" s="2" t="s">
        <v>199</v>
      </c>
      <c r="DW100" s="2" t="s">
        <v>199</v>
      </c>
      <c r="DX100" s="2">
        <v>1000</v>
      </c>
      <c r="DY100" s="2"/>
      <c r="DZ100" s="2" t="s">
        <v>3</v>
      </c>
      <c r="EA100" s="2" t="s">
        <v>3</v>
      </c>
      <c r="EB100" s="2" t="s">
        <v>3</v>
      </c>
      <c r="EC100" s="2" t="s">
        <v>3</v>
      </c>
      <c r="ED100" s="2"/>
      <c r="EE100" s="2">
        <v>55471715</v>
      </c>
      <c r="EF100" s="2">
        <v>2</v>
      </c>
      <c r="EG100" s="2" t="s">
        <v>60</v>
      </c>
      <c r="EH100" s="2">
        <v>21</v>
      </c>
      <c r="EI100" s="2" t="s">
        <v>61</v>
      </c>
      <c r="EJ100" s="2">
        <v>1</v>
      </c>
      <c r="EK100" s="2">
        <v>27001</v>
      </c>
      <c r="EL100" s="2" t="s">
        <v>61</v>
      </c>
      <c r="EM100" s="2" t="s">
        <v>63</v>
      </c>
      <c r="EN100" s="2"/>
      <c r="EO100" s="2" t="s">
        <v>139</v>
      </c>
      <c r="EP100" s="2"/>
      <c r="EQ100" s="2">
        <v>0</v>
      </c>
      <c r="ER100" s="2">
        <v>117.39</v>
      </c>
      <c r="ES100" s="2">
        <v>0</v>
      </c>
      <c r="ET100" s="2">
        <v>13.99</v>
      </c>
      <c r="EU100" s="2">
        <v>1.99</v>
      </c>
      <c r="EV100" s="2">
        <v>103.4</v>
      </c>
      <c r="EW100" s="2">
        <v>11.4</v>
      </c>
      <c r="EX100" s="2">
        <v>0.16</v>
      </c>
      <c r="EY100" s="2">
        <v>0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99"/>
        <v>0</v>
      </c>
      <c r="FS100" s="2">
        <v>0</v>
      </c>
      <c r="FT100" s="2"/>
      <c r="FU100" s="2"/>
      <c r="FV100" s="2"/>
      <c r="FW100" s="2"/>
      <c r="FX100" s="2">
        <v>132.3</v>
      </c>
      <c r="FY100" s="2">
        <v>113.89999999999999</v>
      </c>
      <c r="FZ100" s="2"/>
      <c r="GA100" s="2" t="s">
        <v>3</v>
      </c>
      <c r="GB100" s="2"/>
      <c r="GC100" s="2"/>
      <c r="GD100" s="2">
        <v>1</v>
      </c>
      <c r="GE100" s="2"/>
      <c r="GF100" s="2">
        <v>1933938779</v>
      </c>
      <c r="GG100" s="2">
        <v>2</v>
      </c>
      <c r="GH100" s="2">
        <v>1</v>
      </c>
      <c r="GI100" s="2">
        <v>-2</v>
      </c>
      <c r="GJ100" s="2">
        <v>0</v>
      </c>
      <c r="GK100" s="2">
        <v>0</v>
      </c>
      <c r="GL100" s="2">
        <f t="shared" si="100"/>
        <v>0</v>
      </c>
      <c r="GM100" s="2">
        <f t="shared" si="101"/>
        <v>150.85</v>
      </c>
      <c r="GN100" s="2">
        <f t="shared" si="102"/>
        <v>150.85</v>
      </c>
      <c r="GO100" s="2">
        <f t="shared" si="103"/>
        <v>0</v>
      </c>
      <c r="GP100" s="2">
        <f t="shared" si="104"/>
        <v>0</v>
      </c>
      <c r="GQ100" s="2"/>
      <c r="GR100" s="2">
        <v>0</v>
      </c>
      <c r="GS100" s="2">
        <v>3</v>
      </c>
      <c r="GT100" s="2">
        <v>0</v>
      </c>
      <c r="GU100" s="2" t="s">
        <v>3</v>
      </c>
      <c r="GV100" s="2">
        <f t="shared" si="105"/>
        <v>0</v>
      </c>
      <c r="GW100" s="2">
        <v>1</v>
      </c>
      <c r="GX100" s="2">
        <f t="shared" si="106"/>
        <v>0</v>
      </c>
      <c r="GY100" s="2"/>
      <c r="GZ100" s="2"/>
      <c r="HA100" s="2">
        <v>0</v>
      </c>
      <c r="HB100" s="2">
        <v>0</v>
      </c>
      <c r="HC100" s="2">
        <f t="shared" si="107"/>
        <v>0</v>
      </c>
      <c r="HD100" s="2"/>
      <c r="HE100" s="2" t="s">
        <v>3</v>
      </c>
      <c r="HF100" s="2" t="s">
        <v>3</v>
      </c>
      <c r="HG100" s="2"/>
      <c r="HH100" s="2"/>
      <c r="HI100" s="2">
        <f t="shared" si="108"/>
        <v>0.86</v>
      </c>
      <c r="HJ100" s="2">
        <f t="shared" si="109"/>
        <v>41.21</v>
      </c>
      <c r="HK100" s="2">
        <f t="shared" si="110"/>
        <v>55.66</v>
      </c>
      <c r="HL100" s="2">
        <f t="shared" si="111"/>
        <v>47.92</v>
      </c>
      <c r="HM100" s="2" t="s">
        <v>3</v>
      </c>
      <c r="HN100" s="2" t="s">
        <v>65</v>
      </c>
      <c r="HO100" s="2" t="s">
        <v>66</v>
      </c>
      <c r="HP100" s="2" t="s">
        <v>61</v>
      </c>
      <c r="HQ100" s="2" t="s">
        <v>61</v>
      </c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45" ht="12.75">
      <c r="A101">
        <v>17</v>
      </c>
      <c r="B101">
        <v>1</v>
      </c>
      <c r="C101">
        <f>ROW(SmtRes!A90)</f>
        <v>90</v>
      </c>
      <c r="D101">
        <f>ROW(EtalonRes!A88)</f>
        <v>88</v>
      </c>
      <c r="E101" t="s">
        <v>196</v>
      </c>
      <c r="F101" t="s">
        <v>197</v>
      </c>
      <c r="G101" t="s">
        <v>198</v>
      </c>
      <c r="H101" t="s">
        <v>199</v>
      </c>
      <c r="I101">
        <f>ROUND(173.3/1000,7)</f>
        <v>0.1733</v>
      </c>
      <c r="J101">
        <v>0</v>
      </c>
      <c r="K101">
        <f>ROUND(173.3/1000,7)</f>
        <v>0.1733</v>
      </c>
      <c r="O101">
        <f t="shared" si="74"/>
        <v>47.27</v>
      </c>
      <c r="P101">
        <f t="shared" si="75"/>
        <v>0</v>
      </c>
      <c r="Q101">
        <f t="shared" si="76"/>
        <v>6.06</v>
      </c>
      <c r="R101">
        <f t="shared" si="77"/>
        <v>0.86</v>
      </c>
      <c r="S101">
        <f t="shared" si="78"/>
        <v>41.21</v>
      </c>
      <c r="T101">
        <f t="shared" si="79"/>
        <v>0</v>
      </c>
      <c r="U101">
        <f t="shared" si="80"/>
        <v>4.543926</v>
      </c>
      <c r="V101">
        <f t="shared" si="81"/>
        <v>0.06932</v>
      </c>
      <c r="W101">
        <f t="shared" si="82"/>
        <v>0</v>
      </c>
      <c r="X101">
        <f t="shared" si="83"/>
        <v>55.66</v>
      </c>
      <c r="Y101">
        <f t="shared" si="84"/>
        <v>47.92</v>
      </c>
      <c r="AA101">
        <v>55463412</v>
      </c>
      <c r="AB101">
        <f t="shared" si="85"/>
        <v>272.8</v>
      </c>
      <c r="AC101">
        <f>ROUND(((ES101*ROUND(2,7))),2)</f>
        <v>0</v>
      </c>
      <c r="AD101">
        <f>ROUND(((((ET101*ROUND((1.25*2),7)))-((EU101*ROUND((1.25*2),7))))+AE101),2)</f>
        <v>34.98</v>
      </c>
      <c r="AE101">
        <f>ROUND(((EU101*ROUND((1.25*2),7))),2)</f>
        <v>4.98</v>
      </c>
      <c r="AF101">
        <f>ROUND(((EV101*ROUND((1.15*2),7))),2)</f>
        <v>237.82</v>
      </c>
      <c r="AG101">
        <f t="shared" si="87"/>
        <v>0</v>
      </c>
      <c r="AH101">
        <f>((EW101*ROUND((1.15*2),7)))</f>
        <v>26.22</v>
      </c>
      <c r="AI101">
        <f>((EX101*ROUND((1.25*2),7)))</f>
        <v>0.4</v>
      </c>
      <c r="AJ101">
        <f t="shared" si="88"/>
        <v>0</v>
      </c>
      <c r="AK101">
        <v>117.39</v>
      </c>
      <c r="AL101">
        <v>0</v>
      </c>
      <c r="AM101">
        <v>13.99</v>
      </c>
      <c r="AN101">
        <v>1.99</v>
      </c>
      <c r="AO101">
        <v>103.4</v>
      </c>
      <c r="AP101">
        <v>0</v>
      </c>
      <c r="AQ101">
        <v>11.4</v>
      </c>
      <c r="AR101">
        <v>0.16</v>
      </c>
      <c r="AS101">
        <v>0</v>
      </c>
      <c r="AT101">
        <v>132.3</v>
      </c>
      <c r="AU101">
        <v>113.9</v>
      </c>
      <c r="AV101">
        <v>1</v>
      </c>
      <c r="AW101">
        <v>1</v>
      </c>
      <c r="AZ101">
        <v>1</v>
      </c>
      <c r="BA101">
        <v>36.47</v>
      </c>
      <c r="BB101">
        <v>1</v>
      </c>
      <c r="BC101">
        <v>1</v>
      </c>
      <c r="BH101">
        <v>0</v>
      </c>
      <c r="BI101">
        <v>1</v>
      </c>
      <c r="BJ101" t="s">
        <v>200</v>
      </c>
      <c r="BM101">
        <v>27001</v>
      </c>
      <c r="BN101">
        <v>0</v>
      </c>
      <c r="BO101" t="s">
        <v>32</v>
      </c>
      <c r="BP101">
        <v>1</v>
      </c>
      <c r="BQ101">
        <v>2</v>
      </c>
      <c r="BR101">
        <v>0</v>
      </c>
      <c r="BS101">
        <v>36.47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147</v>
      </c>
      <c r="CA101">
        <v>134</v>
      </c>
      <c r="CE101">
        <v>0</v>
      </c>
      <c r="CF101">
        <v>0</v>
      </c>
      <c r="CG101">
        <v>0</v>
      </c>
      <c r="CM101">
        <v>0</v>
      </c>
      <c r="CN101" t="s">
        <v>480</v>
      </c>
      <c r="CO101">
        <v>0</v>
      </c>
      <c r="CP101">
        <f t="shared" si="89"/>
        <v>47.27</v>
      </c>
      <c r="CQ101">
        <f t="shared" si="90"/>
        <v>0</v>
      </c>
      <c r="CR101">
        <f>((((ET101*ROUND((1.25*2),7)))*BB101-((EU101*ROUND((1.25*2),7))))+AE101)</f>
        <v>34.980000000000004</v>
      </c>
      <c r="CS101">
        <f t="shared" si="91"/>
        <v>4.98</v>
      </c>
      <c r="CT101">
        <f t="shared" si="92"/>
        <v>237.82</v>
      </c>
      <c r="CU101">
        <f t="shared" si="93"/>
        <v>0</v>
      </c>
      <c r="CV101">
        <f t="shared" si="94"/>
        <v>26.22</v>
      </c>
      <c r="CW101">
        <f t="shared" si="95"/>
        <v>0.4</v>
      </c>
      <c r="CX101">
        <f t="shared" si="96"/>
        <v>0</v>
      </c>
      <c r="CY101">
        <f t="shared" si="97"/>
        <v>55.65861000000001</v>
      </c>
      <c r="CZ101">
        <f t="shared" si="98"/>
        <v>47.91773</v>
      </c>
      <c r="DD101" t="s">
        <v>201</v>
      </c>
      <c r="DE101" t="s">
        <v>202</v>
      </c>
      <c r="DF101" t="s">
        <v>202</v>
      </c>
      <c r="DG101" t="s">
        <v>203</v>
      </c>
      <c r="DI101" t="s">
        <v>203</v>
      </c>
      <c r="DJ101" t="s">
        <v>202</v>
      </c>
      <c r="DL101" t="s">
        <v>58</v>
      </c>
      <c r="DM101" t="s">
        <v>59</v>
      </c>
      <c r="DN101">
        <v>0</v>
      </c>
      <c r="DO101">
        <v>0</v>
      </c>
      <c r="DP101">
        <v>1</v>
      </c>
      <c r="DQ101">
        <v>1</v>
      </c>
      <c r="DU101">
        <v>1005</v>
      </c>
      <c r="DV101" t="s">
        <v>199</v>
      </c>
      <c r="DW101" t="s">
        <v>199</v>
      </c>
      <c r="DX101">
        <v>1000</v>
      </c>
      <c r="EE101">
        <v>55471715</v>
      </c>
      <c r="EF101">
        <v>2</v>
      </c>
      <c r="EG101" t="s">
        <v>60</v>
      </c>
      <c r="EH101">
        <v>21</v>
      </c>
      <c r="EI101" t="s">
        <v>61</v>
      </c>
      <c r="EJ101">
        <v>1</v>
      </c>
      <c r="EK101">
        <v>27001</v>
      </c>
      <c r="EL101" t="s">
        <v>61</v>
      </c>
      <c r="EM101" t="s">
        <v>63</v>
      </c>
      <c r="EO101" t="s">
        <v>139</v>
      </c>
      <c r="EQ101">
        <v>0</v>
      </c>
      <c r="ER101">
        <v>117.39</v>
      </c>
      <c r="ES101">
        <v>0</v>
      </c>
      <c r="ET101">
        <v>13.99</v>
      </c>
      <c r="EU101">
        <v>1.99</v>
      </c>
      <c r="EV101">
        <v>103.4</v>
      </c>
      <c r="EW101">
        <v>11.4</v>
      </c>
      <c r="EX101">
        <v>0.16</v>
      </c>
      <c r="EY101">
        <v>0</v>
      </c>
      <c r="FQ101">
        <v>0</v>
      </c>
      <c r="FR101">
        <f t="shared" si="99"/>
        <v>0</v>
      </c>
      <c r="FS101">
        <v>0</v>
      </c>
      <c r="FX101">
        <v>132.3</v>
      </c>
      <c r="FY101">
        <v>113.89999999999999</v>
      </c>
      <c r="GD101">
        <v>1</v>
      </c>
      <c r="GF101">
        <v>1933938779</v>
      </c>
      <c r="GG101">
        <v>2</v>
      </c>
      <c r="GH101">
        <v>1</v>
      </c>
      <c r="GI101">
        <v>4</v>
      </c>
      <c r="GJ101">
        <v>0</v>
      </c>
      <c r="GK101">
        <v>0</v>
      </c>
      <c r="GL101">
        <f t="shared" si="100"/>
        <v>0</v>
      </c>
      <c r="GM101">
        <f t="shared" si="101"/>
        <v>150.85</v>
      </c>
      <c r="GN101">
        <f t="shared" si="102"/>
        <v>150.85</v>
      </c>
      <c r="GO101">
        <f t="shared" si="103"/>
        <v>0</v>
      </c>
      <c r="GP101">
        <f t="shared" si="104"/>
        <v>0</v>
      </c>
      <c r="GR101">
        <v>0</v>
      </c>
      <c r="GS101">
        <v>0</v>
      </c>
      <c r="GT101">
        <v>0</v>
      </c>
      <c r="GV101">
        <f t="shared" si="105"/>
        <v>0</v>
      </c>
      <c r="GW101">
        <v>1</v>
      </c>
      <c r="GX101">
        <f t="shared" si="106"/>
        <v>0</v>
      </c>
      <c r="HA101">
        <v>0</v>
      </c>
      <c r="HB101">
        <v>0</v>
      </c>
      <c r="HC101">
        <f t="shared" si="107"/>
        <v>0</v>
      </c>
      <c r="HI101">
        <f t="shared" si="108"/>
        <v>31.36</v>
      </c>
      <c r="HJ101">
        <f t="shared" si="109"/>
        <v>1502.93</v>
      </c>
      <c r="HK101">
        <f t="shared" si="110"/>
        <v>2029.87</v>
      </c>
      <c r="HL101">
        <f t="shared" si="111"/>
        <v>1747.56</v>
      </c>
      <c r="HN101" t="s">
        <v>65</v>
      </c>
      <c r="HO101" t="s">
        <v>66</v>
      </c>
      <c r="HP101" t="s">
        <v>61</v>
      </c>
      <c r="HQ101" t="s">
        <v>61</v>
      </c>
      <c r="IK101">
        <v>0</v>
      </c>
    </row>
    <row r="102" spans="1:255" ht="12.75">
      <c r="A102" s="2">
        <v>18</v>
      </c>
      <c r="B102" s="2">
        <v>1</v>
      </c>
      <c r="C102" s="2">
        <v>85</v>
      </c>
      <c r="D102" s="2"/>
      <c r="E102" s="2" t="s">
        <v>204</v>
      </c>
      <c r="F102" s="2" t="s">
        <v>205</v>
      </c>
      <c r="G102" s="2" t="s">
        <v>206</v>
      </c>
      <c r="H102" s="2" t="s">
        <v>36</v>
      </c>
      <c r="I102" s="2">
        <f>I100*J102</f>
        <v>1.075655</v>
      </c>
      <c r="J102" s="2">
        <v>6.206895556837853</v>
      </c>
      <c r="K102" s="2">
        <v>6.206897</v>
      </c>
      <c r="L102" s="2"/>
      <c r="M102" s="2"/>
      <c r="N102" s="2"/>
      <c r="O102" s="2">
        <f t="shared" si="74"/>
        <v>9347.44</v>
      </c>
      <c r="P102" s="2">
        <f t="shared" si="75"/>
        <v>9347.44</v>
      </c>
      <c r="Q102" s="2">
        <f t="shared" si="76"/>
        <v>0</v>
      </c>
      <c r="R102" s="2">
        <f t="shared" si="77"/>
        <v>0</v>
      </c>
      <c r="S102" s="2">
        <f t="shared" si="78"/>
        <v>0</v>
      </c>
      <c r="T102" s="2">
        <f t="shared" si="79"/>
        <v>0</v>
      </c>
      <c r="U102" s="2">
        <f t="shared" si="80"/>
        <v>0</v>
      </c>
      <c r="V102" s="2">
        <f t="shared" si="81"/>
        <v>0</v>
      </c>
      <c r="W102" s="2">
        <f t="shared" si="82"/>
        <v>0</v>
      </c>
      <c r="X102" s="2">
        <f t="shared" si="83"/>
        <v>0</v>
      </c>
      <c r="Y102" s="2">
        <f t="shared" si="84"/>
        <v>0</v>
      </c>
      <c r="Z102" s="2"/>
      <c r="AA102" s="2">
        <v>55463411</v>
      </c>
      <c r="AB102" s="2">
        <f t="shared" si="85"/>
        <v>8690</v>
      </c>
      <c r="AC102" s="2">
        <f aca="true" t="shared" si="120" ref="AC102:AC127">ROUND((ES102),2)</f>
        <v>8690</v>
      </c>
      <c r="AD102" s="2">
        <f>ROUND((((ET102)-(EU102))+AE102),2)</f>
        <v>0</v>
      </c>
      <c r="AE102" s="2">
        <f>ROUND((EU102),2)</f>
        <v>0</v>
      </c>
      <c r="AF102" s="2">
        <f>ROUND((EV102),2)</f>
        <v>0</v>
      </c>
      <c r="AG102" s="2">
        <f t="shared" si="87"/>
        <v>0</v>
      </c>
      <c r="AH102" s="2">
        <f>(EW102)</f>
        <v>0</v>
      </c>
      <c r="AI102" s="2">
        <f>(EX102)</f>
        <v>0</v>
      </c>
      <c r="AJ102" s="2">
        <f t="shared" si="88"/>
        <v>0</v>
      </c>
      <c r="AK102" s="2">
        <v>8690</v>
      </c>
      <c r="AL102" s="2">
        <v>8690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147</v>
      </c>
      <c r="AU102" s="2">
        <v>134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3</v>
      </c>
      <c r="BE102" s="2" t="s">
        <v>3</v>
      </c>
      <c r="BF102" s="2" t="s">
        <v>3</v>
      </c>
      <c r="BG102" s="2" t="s">
        <v>3</v>
      </c>
      <c r="BH102" s="2">
        <v>3</v>
      </c>
      <c r="BI102" s="2">
        <v>1</v>
      </c>
      <c r="BJ102" s="2" t="s">
        <v>207</v>
      </c>
      <c r="BK102" s="2"/>
      <c r="BL102" s="2"/>
      <c r="BM102" s="2">
        <v>27001</v>
      </c>
      <c r="BN102" s="2">
        <v>0</v>
      </c>
      <c r="BO102" s="2" t="s">
        <v>3</v>
      </c>
      <c r="BP102" s="2">
        <v>0</v>
      </c>
      <c r="BQ102" s="2">
        <v>2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3</v>
      </c>
      <c r="BZ102" s="2">
        <v>147</v>
      </c>
      <c r="CA102" s="2">
        <v>134</v>
      </c>
      <c r="CB102" s="2" t="s">
        <v>3</v>
      </c>
      <c r="CC102" s="2"/>
      <c r="CD102" s="2"/>
      <c r="CE102" s="2">
        <v>0</v>
      </c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3</v>
      </c>
      <c r="CO102" s="2">
        <v>0</v>
      </c>
      <c r="CP102" s="2">
        <f t="shared" si="89"/>
        <v>9347.44</v>
      </c>
      <c r="CQ102" s="2">
        <f t="shared" si="90"/>
        <v>8690</v>
      </c>
      <c r="CR102" s="2">
        <f>(((ET102)*BB102-(EU102))+AE102)</f>
        <v>0</v>
      </c>
      <c r="CS102" s="2">
        <f t="shared" si="91"/>
        <v>0</v>
      </c>
      <c r="CT102" s="2">
        <f t="shared" si="92"/>
        <v>0</v>
      </c>
      <c r="CU102" s="2">
        <f t="shared" si="93"/>
        <v>0</v>
      </c>
      <c r="CV102" s="2">
        <f t="shared" si="94"/>
        <v>0</v>
      </c>
      <c r="CW102" s="2">
        <f t="shared" si="95"/>
        <v>0</v>
      </c>
      <c r="CX102" s="2">
        <f t="shared" si="96"/>
        <v>0</v>
      </c>
      <c r="CY102" s="2">
        <f t="shared" si="97"/>
        <v>0</v>
      </c>
      <c r="CZ102" s="2">
        <f t="shared" si="98"/>
        <v>0</v>
      </c>
      <c r="DA102" s="2"/>
      <c r="DB102" s="2"/>
      <c r="DC102" s="2" t="s">
        <v>3</v>
      </c>
      <c r="DD102" s="2" t="s">
        <v>3</v>
      </c>
      <c r="DE102" s="2" t="s">
        <v>3</v>
      </c>
      <c r="DF102" s="2" t="s">
        <v>3</v>
      </c>
      <c r="DG102" s="2" t="s">
        <v>3</v>
      </c>
      <c r="DH102" s="2" t="s">
        <v>3</v>
      </c>
      <c r="DI102" s="2" t="s">
        <v>3</v>
      </c>
      <c r="DJ102" s="2" t="s">
        <v>3</v>
      </c>
      <c r="DK102" s="2" t="s">
        <v>3</v>
      </c>
      <c r="DL102" s="2" t="s">
        <v>3</v>
      </c>
      <c r="DM102" s="2" t="s">
        <v>3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1009</v>
      </c>
      <c r="DV102" s="2" t="s">
        <v>36</v>
      </c>
      <c r="DW102" s="2" t="s">
        <v>36</v>
      </c>
      <c r="DX102" s="2">
        <v>1000</v>
      </c>
      <c r="DY102" s="2"/>
      <c r="DZ102" s="2" t="s">
        <v>3</v>
      </c>
      <c r="EA102" s="2" t="s">
        <v>3</v>
      </c>
      <c r="EB102" s="2" t="s">
        <v>3</v>
      </c>
      <c r="EC102" s="2" t="s">
        <v>3</v>
      </c>
      <c r="ED102" s="2"/>
      <c r="EE102" s="2">
        <v>55471715</v>
      </c>
      <c r="EF102" s="2">
        <v>2</v>
      </c>
      <c r="EG102" s="2" t="s">
        <v>60</v>
      </c>
      <c r="EH102" s="2">
        <v>21</v>
      </c>
      <c r="EI102" s="2" t="s">
        <v>61</v>
      </c>
      <c r="EJ102" s="2">
        <v>1</v>
      </c>
      <c r="EK102" s="2">
        <v>27001</v>
      </c>
      <c r="EL102" s="2" t="s">
        <v>61</v>
      </c>
      <c r="EM102" s="2" t="s">
        <v>63</v>
      </c>
      <c r="EN102" s="2"/>
      <c r="EO102" s="2" t="s">
        <v>3</v>
      </c>
      <c r="EP102" s="2"/>
      <c r="EQ102" s="2">
        <v>0</v>
      </c>
      <c r="ER102" s="2">
        <v>8690</v>
      </c>
      <c r="ES102" s="2">
        <v>8690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99"/>
        <v>0</v>
      </c>
      <c r="FS102" s="2">
        <v>0</v>
      </c>
      <c r="FT102" s="2"/>
      <c r="FU102" s="2"/>
      <c r="FV102" s="2"/>
      <c r="FW102" s="2"/>
      <c r="FX102" s="2">
        <v>147</v>
      </c>
      <c r="FY102" s="2">
        <v>134</v>
      </c>
      <c r="FZ102" s="2"/>
      <c r="GA102" s="2" t="s">
        <v>3</v>
      </c>
      <c r="GB102" s="2"/>
      <c r="GC102" s="2"/>
      <c r="GD102" s="2">
        <v>1</v>
      </c>
      <c r="GE102" s="2"/>
      <c r="GF102" s="2">
        <v>1041208566</v>
      </c>
      <c r="GG102" s="2">
        <v>2</v>
      </c>
      <c r="GH102" s="2">
        <v>1</v>
      </c>
      <c r="GI102" s="2">
        <v>-2</v>
      </c>
      <c r="GJ102" s="2">
        <v>0</v>
      </c>
      <c r="GK102" s="2">
        <v>0</v>
      </c>
      <c r="GL102" s="2">
        <f t="shared" si="100"/>
        <v>0</v>
      </c>
      <c r="GM102" s="2">
        <f t="shared" si="101"/>
        <v>9347.44</v>
      </c>
      <c r="GN102" s="2">
        <f t="shared" si="102"/>
        <v>9347.44</v>
      </c>
      <c r="GO102" s="2">
        <f t="shared" si="103"/>
        <v>0</v>
      </c>
      <c r="GP102" s="2">
        <f t="shared" si="104"/>
        <v>0</v>
      </c>
      <c r="GQ102" s="2"/>
      <c r="GR102" s="2">
        <v>0</v>
      </c>
      <c r="GS102" s="2">
        <v>3</v>
      </c>
      <c r="GT102" s="2">
        <v>0</v>
      </c>
      <c r="GU102" s="2" t="s">
        <v>3</v>
      </c>
      <c r="GV102" s="2">
        <f t="shared" si="105"/>
        <v>0</v>
      </c>
      <c r="GW102" s="2">
        <v>1</v>
      </c>
      <c r="GX102" s="2">
        <f t="shared" si="106"/>
        <v>0</v>
      </c>
      <c r="GY102" s="2"/>
      <c r="GZ102" s="2"/>
      <c r="HA102" s="2">
        <v>0</v>
      </c>
      <c r="HB102" s="2">
        <v>0</v>
      </c>
      <c r="HC102" s="2">
        <f t="shared" si="107"/>
        <v>0</v>
      </c>
      <c r="HD102" s="2"/>
      <c r="HE102" s="2" t="s">
        <v>3</v>
      </c>
      <c r="HF102" s="2" t="s">
        <v>3</v>
      </c>
      <c r="HG102" s="2"/>
      <c r="HH102" s="2"/>
      <c r="HI102" s="2">
        <f t="shared" si="108"/>
        <v>0</v>
      </c>
      <c r="HJ102" s="2">
        <f t="shared" si="109"/>
        <v>0</v>
      </c>
      <c r="HK102" s="2">
        <f t="shared" si="110"/>
        <v>0</v>
      </c>
      <c r="HL102" s="2">
        <f t="shared" si="111"/>
        <v>0</v>
      </c>
      <c r="HM102" s="2" t="s">
        <v>3</v>
      </c>
      <c r="HN102" s="2" t="s">
        <v>65</v>
      </c>
      <c r="HO102" s="2" t="s">
        <v>66</v>
      </c>
      <c r="HP102" s="2" t="s">
        <v>61</v>
      </c>
      <c r="HQ102" s="2" t="s">
        <v>61</v>
      </c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45" ht="12.75">
      <c r="A103">
        <v>18</v>
      </c>
      <c r="B103">
        <v>1</v>
      </c>
      <c r="C103">
        <v>90</v>
      </c>
      <c r="E103" t="s">
        <v>204</v>
      </c>
      <c r="F103" t="s">
        <v>205</v>
      </c>
      <c r="G103" t="s">
        <v>206</v>
      </c>
      <c r="H103" t="s">
        <v>36</v>
      </c>
      <c r="I103">
        <f>I101*J103</f>
        <v>1.075655</v>
      </c>
      <c r="J103">
        <v>6.206895556837853</v>
      </c>
      <c r="K103">
        <v>6.206897</v>
      </c>
      <c r="O103">
        <f t="shared" si="74"/>
        <v>9347.44</v>
      </c>
      <c r="P103">
        <f t="shared" si="75"/>
        <v>9347.44</v>
      </c>
      <c r="Q103">
        <f t="shared" si="76"/>
        <v>0</v>
      </c>
      <c r="R103">
        <f t="shared" si="77"/>
        <v>0</v>
      </c>
      <c r="S103">
        <f t="shared" si="78"/>
        <v>0</v>
      </c>
      <c r="T103">
        <f t="shared" si="79"/>
        <v>0</v>
      </c>
      <c r="U103">
        <f t="shared" si="80"/>
        <v>0</v>
      </c>
      <c r="V103">
        <f t="shared" si="81"/>
        <v>0</v>
      </c>
      <c r="W103">
        <f t="shared" si="82"/>
        <v>0</v>
      </c>
      <c r="X103">
        <f t="shared" si="83"/>
        <v>0</v>
      </c>
      <c r="Y103">
        <f t="shared" si="84"/>
        <v>0</v>
      </c>
      <c r="AA103">
        <v>55463412</v>
      </c>
      <c r="AB103">
        <f t="shared" si="85"/>
        <v>8690</v>
      </c>
      <c r="AC103">
        <f t="shared" si="120"/>
        <v>8690</v>
      </c>
      <c r="AD103">
        <f>ROUND((((ET103)-(EU103))+AE103),2)</f>
        <v>0</v>
      </c>
      <c r="AE103">
        <f>ROUND((EU103),2)</f>
        <v>0</v>
      </c>
      <c r="AF103">
        <f>ROUND((EV103),2)</f>
        <v>0</v>
      </c>
      <c r="AG103">
        <f t="shared" si="87"/>
        <v>0</v>
      </c>
      <c r="AH103">
        <f>(EW103)</f>
        <v>0</v>
      </c>
      <c r="AI103">
        <f>(EX103)</f>
        <v>0</v>
      </c>
      <c r="AJ103">
        <f t="shared" si="88"/>
        <v>0</v>
      </c>
      <c r="AK103">
        <v>8690</v>
      </c>
      <c r="AL103">
        <v>8690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147</v>
      </c>
      <c r="AU103">
        <v>134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1</v>
      </c>
      <c r="BH103">
        <v>3</v>
      </c>
      <c r="BI103">
        <v>1</v>
      </c>
      <c r="BJ103" t="s">
        <v>207</v>
      </c>
      <c r="BM103">
        <v>27001</v>
      </c>
      <c r="BN103">
        <v>0</v>
      </c>
      <c r="BO103" t="s">
        <v>32</v>
      </c>
      <c r="BP103">
        <v>1</v>
      </c>
      <c r="BQ103">
        <v>2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147</v>
      </c>
      <c r="CA103">
        <v>134</v>
      </c>
      <c r="CE103">
        <v>0</v>
      </c>
      <c r="CF103">
        <v>0</v>
      </c>
      <c r="CG103">
        <v>0</v>
      </c>
      <c r="CM103">
        <v>0</v>
      </c>
      <c r="CO103">
        <v>0</v>
      </c>
      <c r="CP103">
        <f t="shared" si="89"/>
        <v>9347.44</v>
      </c>
      <c r="CQ103">
        <f t="shared" si="90"/>
        <v>8690</v>
      </c>
      <c r="CR103">
        <f>(((ET103)*BB103-(EU103))+AE103)</f>
        <v>0</v>
      </c>
      <c r="CS103">
        <f t="shared" si="91"/>
        <v>0</v>
      </c>
      <c r="CT103">
        <f t="shared" si="92"/>
        <v>0</v>
      </c>
      <c r="CU103">
        <f t="shared" si="93"/>
        <v>0</v>
      </c>
      <c r="CV103">
        <f t="shared" si="94"/>
        <v>0</v>
      </c>
      <c r="CW103">
        <f t="shared" si="95"/>
        <v>0</v>
      </c>
      <c r="CX103">
        <f t="shared" si="96"/>
        <v>0</v>
      </c>
      <c r="CY103">
        <f t="shared" si="97"/>
        <v>0</v>
      </c>
      <c r="CZ103">
        <f t="shared" si="98"/>
        <v>0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36</v>
      </c>
      <c r="DW103" t="s">
        <v>36</v>
      </c>
      <c r="DX103">
        <v>1000</v>
      </c>
      <c r="EE103">
        <v>55471715</v>
      </c>
      <c r="EF103">
        <v>2</v>
      </c>
      <c r="EG103" t="s">
        <v>60</v>
      </c>
      <c r="EH103">
        <v>21</v>
      </c>
      <c r="EI103" t="s">
        <v>61</v>
      </c>
      <c r="EJ103">
        <v>1</v>
      </c>
      <c r="EK103">
        <v>27001</v>
      </c>
      <c r="EL103" t="s">
        <v>61</v>
      </c>
      <c r="EM103" t="s">
        <v>63</v>
      </c>
      <c r="EQ103">
        <v>0</v>
      </c>
      <c r="ER103">
        <v>8690</v>
      </c>
      <c r="ES103">
        <v>8690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99"/>
        <v>0</v>
      </c>
      <c r="FS103">
        <v>0</v>
      </c>
      <c r="FX103">
        <v>147</v>
      </c>
      <c r="FY103">
        <v>134</v>
      </c>
      <c r="GD103">
        <v>1</v>
      </c>
      <c r="GF103">
        <v>1041208566</v>
      </c>
      <c r="GG103">
        <v>2</v>
      </c>
      <c r="GH103">
        <v>1</v>
      </c>
      <c r="GI103">
        <v>4</v>
      </c>
      <c r="GJ103">
        <v>0</v>
      </c>
      <c r="GK103">
        <v>0</v>
      </c>
      <c r="GL103">
        <f t="shared" si="100"/>
        <v>0</v>
      </c>
      <c r="GM103">
        <f t="shared" si="101"/>
        <v>9347.44</v>
      </c>
      <c r="GN103">
        <f t="shared" si="102"/>
        <v>9347.44</v>
      </c>
      <c r="GO103">
        <f t="shared" si="103"/>
        <v>0</v>
      </c>
      <c r="GP103">
        <f t="shared" si="104"/>
        <v>0</v>
      </c>
      <c r="GR103">
        <v>0</v>
      </c>
      <c r="GS103">
        <v>0</v>
      </c>
      <c r="GT103">
        <v>0</v>
      </c>
      <c r="GV103">
        <f t="shared" si="105"/>
        <v>0</v>
      </c>
      <c r="GW103">
        <v>1</v>
      </c>
      <c r="GX103">
        <f t="shared" si="106"/>
        <v>0</v>
      </c>
      <c r="HA103">
        <v>0</v>
      </c>
      <c r="HB103">
        <v>0</v>
      </c>
      <c r="HC103">
        <f t="shared" si="107"/>
        <v>0</v>
      </c>
      <c r="HI103">
        <f t="shared" si="108"/>
        <v>0</v>
      </c>
      <c r="HJ103">
        <f t="shared" si="109"/>
        <v>0</v>
      </c>
      <c r="HK103">
        <f t="shared" si="110"/>
        <v>0</v>
      </c>
      <c r="HL103">
        <f t="shared" si="111"/>
        <v>0</v>
      </c>
      <c r="HN103" t="s">
        <v>65</v>
      </c>
      <c r="HO103" t="s">
        <v>66</v>
      </c>
      <c r="HP103" t="s">
        <v>61</v>
      </c>
      <c r="HQ103" t="s">
        <v>61</v>
      </c>
      <c r="IK103">
        <v>0</v>
      </c>
    </row>
    <row r="104" spans="1:255" ht="12.75">
      <c r="A104" s="2">
        <v>17</v>
      </c>
      <c r="B104" s="2">
        <v>1</v>
      </c>
      <c r="C104" s="2">
        <f>ROW(SmtRes!A96)</f>
        <v>96</v>
      </c>
      <c r="D104" s="2">
        <f>ROW(EtalonRes!A94)</f>
        <v>94</v>
      </c>
      <c r="E104" s="2" t="s">
        <v>208</v>
      </c>
      <c r="F104" s="2" t="s">
        <v>209</v>
      </c>
      <c r="G104" s="2" t="s">
        <v>210</v>
      </c>
      <c r="H104" s="2" t="s">
        <v>25</v>
      </c>
      <c r="I104" s="2">
        <f>ROUND(173.3/100,7)</f>
        <v>1.733</v>
      </c>
      <c r="J104" s="2">
        <v>0</v>
      </c>
      <c r="K104" s="2">
        <f>ROUND(173.3/100,7)</f>
        <v>1.733</v>
      </c>
      <c r="L104" s="2"/>
      <c r="M104" s="2"/>
      <c r="N104" s="2"/>
      <c r="O104" s="2">
        <f t="shared" si="74"/>
        <v>944.25</v>
      </c>
      <c r="P104" s="2">
        <f t="shared" si="75"/>
        <v>237.91</v>
      </c>
      <c r="Q104" s="2">
        <f t="shared" si="76"/>
        <v>56.93</v>
      </c>
      <c r="R104" s="2">
        <f t="shared" si="77"/>
        <v>10.05</v>
      </c>
      <c r="S104" s="2">
        <f t="shared" si="78"/>
        <v>649.41</v>
      </c>
      <c r="T104" s="2">
        <f t="shared" si="79"/>
        <v>0</v>
      </c>
      <c r="U104" s="2">
        <f t="shared" si="80"/>
        <v>76.13069</v>
      </c>
      <c r="V104" s="2">
        <f t="shared" si="81"/>
        <v>0.8665</v>
      </c>
      <c r="W104" s="2">
        <f t="shared" si="82"/>
        <v>0</v>
      </c>
      <c r="X104" s="2">
        <f t="shared" si="83"/>
        <v>652.87</v>
      </c>
      <c r="Y104" s="2">
        <f t="shared" si="84"/>
        <v>386.77</v>
      </c>
      <c r="Z104" s="2"/>
      <c r="AA104" s="2">
        <v>55463411</v>
      </c>
      <c r="AB104" s="2">
        <f t="shared" si="85"/>
        <v>544.86</v>
      </c>
      <c r="AC104" s="2">
        <f t="shared" si="120"/>
        <v>137.28</v>
      </c>
      <c r="AD104" s="2">
        <f>ROUND(((((ET104*ROUND(1.25,7)))-((EU104*ROUND(1.25,7))))+AE104),2)</f>
        <v>32.85</v>
      </c>
      <c r="AE104" s="2">
        <f>ROUND(((EU104*ROUND(1.25,7))),2)</f>
        <v>5.8</v>
      </c>
      <c r="AF104" s="2">
        <f>ROUND(((EV104*ROUND(1.15,7))),2)</f>
        <v>374.73</v>
      </c>
      <c r="AG104" s="2">
        <f t="shared" si="87"/>
        <v>0</v>
      </c>
      <c r="AH104" s="2">
        <f>((EW104*ROUND(1.15,7)))</f>
        <v>43.93</v>
      </c>
      <c r="AI104" s="2">
        <f>((EX104*ROUND(1.25,7)))</f>
        <v>0.5</v>
      </c>
      <c r="AJ104" s="2">
        <f t="shared" si="88"/>
        <v>0</v>
      </c>
      <c r="AK104" s="2">
        <v>489.41</v>
      </c>
      <c r="AL104" s="2">
        <v>137.28</v>
      </c>
      <c r="AM104" s="2">
        <v>26.28</v>
      </c>
      <c r="AN104" s="2">
        <v>4.64</v>
      </c>
      <c r="AO104" s="2">
        <v>325.85</v>
      </c>
      <c r="AP104" s="2">
        <v>0</v>
      </c>
      <c r="AQ104" s="2">
        <v>38.2</v>
      </c>
      <c r="AR104" s="2">
        <v>0.4</v>
      </c>
      <c r="AS104" s="2">
        <v>0</v>
      </c>
      <c r="AT104" s="2">
        <v>99</v>
      </c>
      <c r="AU104" s="2">
        <v>58.65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3</v>
      </c>
      <c r="BE104" s="2" t="s">
        <v>3</v>
      </c>
      <c r="BF104" s="2" t="s">
        <v>3</v>
      </c>
      <c r="BG104" s="2" t="s">
        <v>3</v>
      </c>
      <c r="BH104" s="2">
        <v>0</v>
      </c>
      <c r="BI104" s="2">
        <v>1</v>
      </c>
      <c r="BJ104" s="2" t="s">
        <v>211</v>
      </c>
      <c r="BK104" s="2"/>
      <c r="BL104" s="2"/>
      <c r="BM104" s="2">
        <v>8001</v>
      </c>
      <c r="BN104" s="2">
        <v>0</v>
      </c>
      <c r="BO104" s="2" t="s">
        <v>3</v>
      </c>
      <c r="BP104" s="2">
        <v>0</v>
      </c>
      <c r="BQ104" s="2">
        <v>2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3</v>
      </c>
      <c r="BZ104" s="2">
        <v>110</v>
      </c>
      <c r="CA104" s="2">
        <v>69</v>
      </c>
      <c r="CB104" s="2" t="s">
        <v>3</v>
      </c>
      <c r="CC104" s="2"/>
      <c r="CD104" s="2"/>
      <c r="CE104" s="2">
        <v>0</v>
      </c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480</v>
      </c>
      <c r="CO104" s="2">
        <v>0</v>
      </c>
      <c r="CP104" s="2">
        <f t="shared" si="89"/>
        <v>944.25</v>
      </c>
      <c r="CQ104" s="2">
        <f t="shared" si="90"/>
        <v>137.28</v>
      </c>
      <c r="CR104" s="2">
        <f>((((ET104*ROUND(1.25,7)))*BB104-((EU104*ROUND(1.25,7))))+AE104)</f>
        <v>32.85</v>
      </c>
      <c r="CS104" s="2">
        <f t="shared" si="91"/>
        <v>5.8</v>
      </c>
      <c r="CT104" s="2">
        <f t="shared" si="92"/>
        <v>374.73</v>
      </c>
      <c r="CU104" s="2">
        <f t="shared" si="93"/>
        <v>0</v>
      </c>
      <c r="CV104" s="2">
        <f t="shared" si="94"/>
        <v>43.93</v>
      </c>
      <c r="CW104" s="2">
        <f t="shared" si="95"/>
        <v>0.5</v>
      </c>
      <c r="CX104" s="2">
        <f t="shared" si="96"/>
        <v>0</v>
      </c>
      <c r="CY104" s="2">
        <f t="shared" si="97"/>
        <v>652.8653999999999</v>
      </c>
      <c r="CZ104" s="2">
        <f t="shared" si="98"/>
        <v>386.77329</v>
      </c>
      <c r="DA104" s="2"/>
      <c r="DB104" s="2"/>
      <c r="DC104" s="2" t="s">
        <v>3</v>
      </c>
      <c r="DD104" s="2" t="s">
        <v>3</v>
      </c>
      <c r="DE104" s="2" t="s">
        <v>56</v>
      </c>
      <c r="DF104" s="2" t="s">
        <v>56</v>
      </c>
      <c r="DG104" s="2" t="s">
        <v>57</v>
      </c>
      <c r="DH104" s="2" t="s">
        <v>3</v>
      </c>
      <c r="DI104" s="2" t="s">
        <v>57</v>
      </c>
      <c r="DJ104" s="2" t="s">
        <v>56</v>
      </c>
      <c r="DK104" s="2" t="s">
        <v>3</v>
      </c>
      <c r="DL104" s="2" t="s">
        <v>58</v>
      </c>
      <c r="DM104" s="2" t="s">
        <v>59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1005</v>
      </c>
      <c r="DV104" s="2" t="s">
        <v>25</v>
      </c>
      <c r="DW104" s="2" t="s">
        <v>25</v>
      </c>
      <c r="DX104" s="2">
        <v>100</v>
      </c>
      <c r="DY104" s="2"/>
      <c r="DZ104" s="2" t="s">
        <v>3</v>
      </c>
      <c r="EA104" s="2" t="s">
        <v>3</v>
      </c>
      <c r="EB104" s="2" t="s">
        <v>3</v>
      </c>
      <c r="EC104" s="2" t="s">
        <v>3</v>
      </c>
      <c r="ED104" s="2"/>
      <c r="EE104" s="2">
        <v>55471657</v>
      </c>
      <c r="EF104" s="2">
        <v>2</v>
      </c>
      <c r="EG104" s="2" t="s">
        <v>60</v>
      </c>
      <c r="EH104" s="2">
        <v>8</v>
      </c>
      <c r="EI104" s="2" t="s">
        <v>212</v>
      </c>
      <c r="EJ104" s="2">
        <v>1</v>
      </c>
      <c r="EK104" s="2">
        <v>8001</v>
      </c>
      <c r="EL104" s="2" t="s">
        <v>212</v>
      </c>
      <c r="EM104" s="2" t="s">
        <v>213</v>
      </c>
      <c r="EN104" s="2"/>
      <c r="EO104" s="2" t="s">
        <v>139</v>
      </c>
      <c r="EP104" s="2"/>
      <c r="EQ104" s="2">
        <v>0</v>
      </c>
      <c r="ER104" s="2">
        <v>489.41</v>
      </c>
      <c r="ES104" s="2">
        <v>137.28</v>
      </c>
      <c r="ET104" s="2">
        <v>26.28</v>
      </c>
      <c r="EU104" s="2">
        <v>4.64</v>
      </c>
      <c r="EV104" s="2">
        <v>325.85</v>
      </c>
      <c r="EW104" s="2">
        <v>38.2</v>
      </c>
      <c r="EX104" s="2">
        <v>0.4</v>
      </c>
      <c r="EY104" s="2">
        <v>0</v>
      </c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99"/>
        <v>0</v>
      </c>
      <c r="FS104" s="2">
        <v>0</v>
      </c>
      <c r="FT104" s="2"/>
      <c r="FU104" s="2"/>
      <c r="FV104" s="2"/>
      <c r="FW104" s="2"/>
      <c r="FX104" s="2">
        <v>99</v>
      </c>
      <c r="FY104" s="2">
        <v>58.65</v>
      </c>
      <c r="FZ104" s="2"/>
      <c r="GA104" s="2" t="s">
        <v>3</v>
      </c>
      <c r="GB104" s="2"/>
      <c r="GC104" s="2"/>
      <c r="GD104" s="2">
        <v>1</v>
      </c>
      <c r="GE104" s="2"/>
      <c r="GF104" s="2">
        <v>481161052</v>
      </c>
      <c r="GG104" s="2">
        <v>2</v>
      </c>
      <c r="GH104" s="2">
        <v>1</v>
      </c>
      <c r="GI104" s="2">
        <v>-2</v>
      </c>
      <c r="GJ104" s="2">
        <v>0</v>
      </c>
      <c r="GK104" s="2">
        <v>0</v>
      </c>
      <c r="GL104" s="2">
        <f t="shared" si="100"/>
        <v>0</v>
      </c>
      <c r="GM104" s="2">
        <f t="shared" si="101"/>
        <v>1983.89</v>
      </c>
      <c r="GN104" s="2">
        <f t="shared" si="102"/>
        <v>1983.89</v>
      </c>
      <c r="GO104" s="2">
        <f t="shared" si="103"/>
        <v>0</v>
      </c>
      <c r="GP104" s="2">
        <f t="shared" si="104"/>
        <v>0</v>
      </c>
      <c r="GQ104" s="2"/>
      <c r="GR104" s="2">
        <v>0</v>
      </c>
      <c r="GS104" s="2">
        <v>3</v>
      </c>
      <c r="GT104" s="2">
        <v>0</v>
      </c>
      <c r="GU104" s="2" t="s">
        <v>3</v>
      </c>
      <c r="GV104" s="2">
        <f t="shared" si="105"/>
        <v>0</v>
      </c>
      <c r="GW104" s="2">
        <v>1</v>
      </c>
      <c r="GX104" s="2">
        <f t="shared" si="106"/>
        <v>0</v>
      </c>
      <c r="GY104" s="2"/>
      <c r="GZ104" s="2"/>
      <c r="HA104" s="2">
        <v>0</v>
      </c>
      <c r="HB104" s="2">
        <v>0</v>
      </c>
      <c r="HC104" s="2">
        <f t="shared" si="107"/>
        <v>0</v>
      </c>
      <c r="HD104" s="2"/>
      <c r="HE104" s="2" t="s">
        <v>3</v>
      </c>
      <c r="HF104" s="2" t="s">
        <v>3</v>
      </c>
      <c r="HG104" s="2"/>
      <c r="HH104" s="2"/>
      <c r="HI104" s="2">
        <f t="shared" si="108"/>
        <v>10.05</v>
      </c>
      <c r="HJ104" s="2">
        <f t="shared" si="109"/>
        <v>649.41</v>
      </c>
      <c r="HK104" s="2">
        <f t="shared" si="110"/>
        <v>652.87</v>
      </c>
      <c r="HL104" s="2">
        <f t="shared" si="111"/>
        <v>386.77</v>
      </c>
      <c r="HM104" s="2" t="s">
        <v>3</v>
      </c>
      <c r="HN104" s="2" t="s">
        <v>214</v>
      </c>
      <c r="HO104" s="2" t="s">
        <v>215</v>
      </c>
      <c r="HP104" s="2" t="s">
        <v>212</v>
      </c>
      <c r="HQ104" s="2" t="s">
        <v>212</v>
      </c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45" ht="12.75">
      <c r="A105">
        <v>17</v>
      </c>
      <c r="B105">
        <v>1</v>
      </c>
      <c r="C105">
        <f>ROW(SmtRes!A102)</f>
        <v>102</v>
      </c>
      <c r="D105">
        <f>ROW(EtalonRes!A100)</f>
        <v>100</v>
      </c>
      <c r="E105" t="s">
        <v>208</v>
      </c>
      <c r="F105" t="s">
        <v>209</v>
      </c>
      <c r="G105" t="s">
        <v>210</v>
      </c>
      <c r="H105" t="s">
        <v>25</v>
      </c>
      <c r="I105">
        <f>ROUND(173.3/100,7)</f>
        <v>1.733</v>
      </c>
      <c r="J105">
        <v>0</v>
      </c>
      <c r="K105">
        <f>ROUND(173.3/100,7)</f>
        <v>1.733</v>
      </c>
      <c r="O105">
        <f t="shared" si="74"/>
        <v>944.25</v>
      </c>
      <c r="P105">
        <f t="shared" si="75"/>
        <v>237.91</v>
      </c>
      <c r="Q105">
        <f t="shared" si="76"/>
        <v>56.93</v>
      </c>
      <c r="R105">
        <f t="shared" si="77"/>
        <v>10.05</v>
      </c>
      <c r="S105">
        <f t="shared" si="78"/>
        <v>649.41</v>
      </c>
      <c r="T105">
        <f t="shared" si="79"/>
        <v>0</v>
      </c>
      <c r="U105">
        <f t="shared" si="80"/>
        <v>76.13069</v>
      </c>
      <c r="V105">
        <f t="shared" si="81"/>
        <v>0.8665</v>
      </c>
      <c r="W105">
        <f t="shared" si="82"/>
        <v>0</v>
      </c>
      <c r="X105">
        <f t="shared" si="83"/>
        <v>652.87</v>
      </c>
      <c r="Y105">
        <f t="shared" si="84"/>
        <v>386.77</v>
      </c>
      <c r="AA105">
        <v>55463412</v>
      </c>
      <c r="AB105">
        <f t="shared" si="85"/>
        <v>544.86</v>
      </c>
      <c r="AC105">
        <f t="shared" si="120"/>
        <v>137.28</v>
      </c>
      <c r="AD105">
        <f>ROUND(((((ET105*ROUND(1.25,7)))-((EU105*ROUND(1.25,7))))+AE105),2)</f>
        <v>32.85</v>
      </c>
      <c r="AE105">
        <f>ROUND(((EU105*ROUND(1.25,7))),2)</f>
        <v>5.8</v>
      </c>
      <c r="AF105">
        <f>ROUND(((EV105*ROUND(1.15,7))),2)</f>
        <v>374.73</v>
      </c>
      <c r="AG105">
        <f t="shared" si="87"/>
        <v>0</v>
      </c>
      <c r="AH105">
        <f>((EW105*ROUND(1.15,7)))</f>
        <v>43.93</v>
      </c>
      <c r="AI105">
        <f>((EX105*ROUND(1.25,7)))</f>
        <v>0.5</v>
      </c>
      <c r="AJ105">
        <f t="shared" si="88"/>
        <v>0</v>
      </c>
      <c r="AK105">
        <v>489.41</v>
      </c>
      <c r="AL105">
        <v>137.28</v>
      </c>
      <c r="AM105">
        <v>26.28</v>
      </c>
      <c r="AN105">
        <v>4.64</v>
      </c>
      <c r="AO105">
        <v>325.85</v>
      </c>
      <c r="AP105">
        <v>0</v>
      </c>
      <c r="AQ105">
        <v>38.2</v>
      </c>
      <c r="AR105">
        <v>0.4</v>
      </c>
      <c r="AS105">
        <v>0</v>
      </c>
      <c r="AT105">
        <v>99</v>
      </c>
      <c r="AU105">
        <v>58.65</v>
      </c>
      <c r="AV105">
        <v>1</v>
      </c>
      <c r="AW105">
        <v>1</v>
      </c>
      <c r="AZ105">
        <v>1</v>
      </c>
      <c r="BA105">
        <v>36.47</v>
      </c>
      <c r="BB105">
        <v>1</v>
      </c>
      <c r="BC105">
        <v>1</v>
      </c>
      <c r="BH105">
        <v>0</v>
      </c>
      <c r="BI105">
        <v>1</v>
      </c>
      <c r="BJ105" t="s">
        <v>211</v>
      </c>
      <c r="BM105">
        <v>8001</v>
      </c>
      <c r="BN105">
        <v>0</v>
      </c>
      <c r="BO105" t="s">
        <v>32</v>
      </c>
      <c r="BP105">
        <v>1</v>
      </c>
      <c r="BQ105">
        <v>2</v>
      </c>
      <c r="BR105">
        <v>0</v>
      </c>
      <c r="BS105">
        <v>36.47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110</v>
      </c>
      <c r="CA105">
        <v>69</v>
      </c>
      <c r="CE105">
        <v>0</v>
      </c>
      <c r="CF105">
        <v>0</v>
      </c>
      <c r="CG105">
        <v>0</v>
      </c>
      <c r="CM105">
        <v>0</v>
      </c>
      <c r="CN105" t="s">
        <v>480</v>
      </c>
      <c r="CO105">
        <v>0</v>
      </c>
      <c r="CP105">
        <f t="shared" si="89"/>
        <v>944.25</v>
      </c>
      <c r="CQ105">
        <f t="shared" si="90"/>
        <v>137.28</v>
      </c>
      <c r="CR105">
        <f>((((ET105*ROUND(1.25,7)))*BB105-((EU105*ROUND(1.25,7))))+AE105)</f>
        <v>32.85</v>
      </c>
      <c r="CS105">
        <f t="shared" si="91"/>
        <v>5.8</v>
      </c>
      <c r="CT105">
        <f t="shared" si="92"/>
        <v>374.73</v>
      </c>
      <c r="CU105">
        <f t="shared" si="93"/>
        <v>0</v>
      </c>
      <c r="CV105">
        <f t="shared" si="94"/>
        <v>43.93</v>
      </c>
      <c r="CW105">
        <f t="shared" si="95"/>
        <v>0.5</v>
      </c>
      <c r="CX105">
        <f t="shared" si="96"/>
        <v>0</v>
      </c>
      <c r="CY105">
        <f t="shared" si="97"/>
        <v>652.8653999999999</v>
      </c>
      <c r="CZ105">
        <f t="shared" si="98"/>
        <v>386.77329</v>
      </c>
      <c r="DE105" t="s">
        <v>56</v>
      </c>
      <c r="DF105" t="s">
        <v>56</v>
      </c>
      <c r="DG105" t="s">
        <v>57</v>
      </c>
      <c r="DI105" t="s">
        <v>57</v>
      </c>
      <c r="DJ105" t="s">
        <v>56</v>
      </c>
      <c r="DL105" t="s">
        <v>58</v>
      </c>
      <c r="DM105" t="s">
        <v>59</v>
      </c>
      <c r="DN105">
        <v>0</v>
      </c>
      <c r="DO105">
        <v>0</v>
      </c>
      <c r="DP105">
        <v>1</v>
      </c>
      <c r="DQ105">
        <v>1</v>
      </c>
      <c r="DU105">
        <v>1005</v>
      </c>
      <c r="DV105" t="s">
        <v>25</v>
      </c>
      <c r="DW105" t="s">
        <v>25</v>
      </c>
      <c r="DX105">
        <v>100</v>
      </c>
      <c r="EE105">
        <v>55471657</v>
      </c>
      <c r="EF105">
        <v>2</v>
      </c>
      <c r="EG105" t="s">
        <v>60</v>
      </c>
      <c r="EH105">
        <v>8</v>
      </c>
      <c r="EI105" t="s">
        <v>212</v>
      </c>
      <c r="EJ105">
        <v>1</v>
      </c>
      <c r="EK105">
        <v>8001</v>
      </c>
      <c r="EL105" t="s">
        <v>212</v>
      </c>
      <c r="EM105" t="s">
        <v>213</v>
      </c>
      <c r="EO105" t="s">
        <v>139</v>
      </c>
      <c r="EQ105">
        <v>0</v>
      </c>
      <c r="ER105">
        <v>489.41</v>
      </c>
      <c r="ES105">
        <v>137.28</v>
      </c>
      <c r="ET105">
        <v>26.28</v>
      </c>
      <c r="EU105">
        <v>4.64</v>
      </c>
      <c r="EV105">
        <v>325.85</v>
      </c>
      <c r="EW105">
        <v>38.2</v>
      </c>
      <c r="EX105">
        <v>0.4</v>
      </c>
      <c r="EY105">
        <v>0</v>
      </c>
      <c r="FQ105">
        <v>0</v>
      </c>
      <c r="FR105">
        <f t="shared" si="99"/>
        <v>0</v>
      </c>
      <c r="FS105">
        <v>0</v>
      </c>
      <c r="FX105">
        <v>99</v>
      </c>
      <c r="FY105">
        <v>58.65</v>
      </c>
      <c r="GD105">
        <v>1</v>
      </c>
      <c r="GF105">
        <v>481161052</v>
      </c>
      <c r="GG105">
        <v>2</v>
      </c>
      <c r="GH105">
        <v>1</v>
      </c>
      <c r="GI105">
        <v>4</v>
      </c>
      <c r="GJ105">
        <v>0</v>
      </c>
      <c r="GK105">
        <v>0</v>
      </c>
      <c r="GL105">
        <f t="shared" si="100"/>
        <v>0</v>
      </c>
      <c r="GM105">
        <f t="shared" si="101"/>
        <v>1983.89</v>
      </c>
      <c r="GN105">
        <f t="shared" si="102"/>
        <v>1983.89</v>
      </c>
      <c r="GO105">
        <f t="shared" si="103"/>
        <v>0</v>
      </c>
      <c r="GP105">
        <f t="shared" si="104"/>
        <v>0</v>
      </c>
      <c r="GR105">
        <v>0</v>
      </c>
      <c r="GS105">
        <v>3</v>
      </c>
      <c r="GT105">
        <v>0</v>
      </c>
      <c r="GV105">
        <f t="shared" si="105"/>
        <v>0</v>
      </c>
      <c r="GW105">
        <v>1</v>
      </c>
      <c r="GX105">
        <f t="shared" si="106"/>
        <v>0</v>
      </c>
      <c r="HA105">
        <v>0</v>
      </c>
      <c r="HB105">
        <v>0</v>
      </c>
      <c r="HC105">
        <f t="shared" si="107"/>
        <v>0</v>
      </c>
      <c r="HI105">
        <f t="shared" si="108"/>
        <v>366.52</v>
      </c>
      <c r="HJ105">
        <f t="shared" si="109"/>
        <v>23683.98</v>
      </c>
      <c r="HK105">
        <f t="shared" si="110"/>
        <v>23810</v>
      </c>
      <c r="HL105">
        <f t="shared" si="111"/>
        <v>14105.62</v>
      </c>
      <c r="HN105" t="s">
        <v>214</v>
      </c>
      <c r="HO105" t="s">
        <v>215</v>
      </c>
      <c r="HP105" t="s">
        <v>212</v>
      </c>
      <c r="HQ105" t="s">
        <v>212</v>
      </c>
      <c r="IK105">
        <v>0</v>
      </c>
    </row>
    <row r="106" spans="1:255" ht="12.75">
      <c r="A106" s="2">
        <v>18</v>
      </c>
      <c r="B106" s="2">
        <v>1</v>
      </c>
      <c r="C106" s="2">
        <v>96</v>
      </c>
      <c r="D106" s="2"/>
      <c r="E106" s="2" t="s">
        <v>216</v>
      </c>
      <c r="F106" s="2" t="s">
        <v>217</v>
      </c>
      <c r="G106" s="2" t="s">
        <v>218</v>
      </c>
      <c r="H106" s="2" t="s">
        <v>160</v>
      </c>
      <c r="I106" s="2">
        <f>I104*J106</f>
        <v>5.3723</v>
      </c>
      <c r="J106" s="2">
        <v>3.1</v>
      </c>
      <c r="K106" s="2">
        <v>3.1</v>
      </c>
      <c r="L106" s="2"/>
      <c r="M106" s="2"/>
      <c r="N106" s="2"/>
      <c r="O106" s="2">
        <f aca="true" t="shared" si="121" ref="O106:O127">ROUND(CP106,2)</f>
        <v>2282.58</v>
      </c>
      <c r="P106" s="2">
        <f aca="true" t="shared" si="122" ref="P106:P127">ROUND(CQ106*I106,2)</f>
        <v>2282.58</v>
      </c>
      <c r="Q106" s="2">
        <f aca="true" t="shared" si="123" ref="Q106:Q127">ROUND(CR106*I106,2)</f>
        <v>0</v>
      </c>
      <c r="R106" s="2">
        <f aca="true" t="shared" si="124" ref="R106:R127">ROUND(CS106*I106,2)</f>
        <v>0</v>
      </c>
      <c r="S106" s="2">
        <f aca="true" t="shared" si="125" ref="S106:S127">ROUND(CT106*I106,2)</f>
        <v>0</v>
      </c>
      <c r="T106" s="2">
        <f aca="true" t="shared" si="126" ref="T106:T127">ROUND(CU106*I106,2)</f>
        <v>0</v>
      </c>
      <c r="U106" s="2">
        <f aca="true" t="shared" si="127" ref="U106:U127">CV106*I106</f>
        <v>0</v>
      </c>
      <c r="V106" s="2">
        <f aca="true" t="shared" si="128" ref="V106:V127">CW106*I106</f>
        <v>0</v>
      </c>
      <c r="W106" s="2">
        <f aca="true" t="shared" si="129" ref="W106:W127">ROUND(CX106*I106,2)</f>
        <v>0</v>
      </c>
      <c r="X106" s="2">
        <f aca="true" t="shared" si="130" ref="X106:X127">ROUND(CY106,2)</f>
        <v>0</v>
      </c>
      <c r="Y106" s="2">
        <f aca="true" t="shared" si="131" ref="Y106:Y127">ROUND(CZ106,2)</f>
        <v>0</v>
      </c>
      <c r="Z106" s="2"/>
      <c r="AA106" s="2">
        <v>55463411</v>
      </c>
      <c r="AB106" s="2">
        <f aca="true" t="shared" si="132" ref="AB106:AB127">ROUND((AC106+AD106+AF106),2)</f>
        <v>424.88</v>
      </c>
      <c r="AC106" s="2">
        <f t="shared" si="120"/>
        <v>424.88</v>
      </c>
      <c r="AD106" s="2">
        <f>ROUND((((ET106)-(EU106))+AE106),2)</f>
        <v>0</v>
      </c>
      <c r="AE106" s="2">
        <f>ROUND((EU106),2)</f>
        <v>0</v>
      </c>
      <c r="AF106" s="2">
        <f>ROUND((EV106),2)</f>
        <v>0</v>
      </c>
      <c r="AG106" s="2">
        <f aca="true" t="shared" si="133" ref="AG106:AG127">ROUND((AP106),2)</f>
        <v>0</v>
      </c>
      <c r="AH106" s="2">
        <f>(EW106)</f>
        <v>0</v>
      </c>
      <c r="AI106" s="2">
        <f>(EX106)</f>
        <v>0</v>
      </c>
      <c r="AJ106" s="2">
        <f aca="true" t="shared" si="134" ref="AJ106:AJ127">(AS106)</f>
        <v>0</v>
      </c>
      <c r="AK106" s="2">
        <v>424.88</v>
      </c>
      <c r="AL106" s="2">
        <v>424.88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110</v>
      </c>
      <c r="AU106" s="2">
        <v>69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3</v>
      </c>
      <c r="BE106" s="2" t="s">
        <v>3</v>
      </c>
      <c r="BF106" s="2" t="s">
        <v>3</v>
      </c>
      <c r="BG106" s="2" t="s">
        <v>3</v>
      </c>
      <c r="BH106" s="2">
        <v>3</v>
      </c>
      <c r="BI106" s="2">
        <v>1</v>
      </c>
      <c r="BJ106" s="2" t="s">
        <v>219</v>
      </c>
      <c r="BK106" s="2"/>
      <c r="BL106" s="2"/>
      <c r="BM106" s="2">
        <v>8001</v>
      </c>
      <c r="BN106" s="2">
        <v>0</v>
      </c>
      <c r="BO106" s="2" t="s">
        <v>3</v>
      </c>
      <c r="BP106" s="2">
        <v>0</v>
      </c>
      <c r="BQ106" s="2">
        <v>2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3</v>
      </c>
      <c r="BZ106" s="2">
        <v>110</v>
      </c>
      <c r="CA106" s="2">
        <v>69</v>
      </c>
      <c r="CB106" s="2" t="s">
        <v>3</v>
      </c>
      <c r="CC106" s="2"/>
      <c r="CD106" s="2"/>
      <c r="CE106" s="2">
        <v>0</v>
      </c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3</v>
      </c>
      <c r="CO106" s="2">
        <v>0</v>
      </c>
      <c r="CP106" s="2">
        <f aca="true" t="shared" si="135" ref="CP106:CP127">(P106+Q106+S106)</f>
        <v>2282.58</v>
      </c>
      <c r="CQ106" s="2">
        <f aca="true" t="shared" si="136" ref="CQ106:CQ127">AC106*BC106</f>
        <v>424.88</v>
      </c>
      <c r="CR106" s="2">
        <f>(((ET106)*BB106-(EU106))+AE106)</f>
        <v>0</v>
      </c>
      <c r="CS106" s="2">
        <f aca="true" t="shared" si="137" ref="CS106:CS127">AE106</f>
        <v>0</v>
      </c>
      <c r="CT106" s="2">
        <f aca="true" t="shared" si="138" ref="CT106:CT127">AF106</f>
        <v>0</v>
      </c>
      <c r="CU106" s="2">
        <f aca="true" t="shared" si="139" ref="CU106:CU127">AG106</f>
        <v>0</v>
      </c>
      <c r="CV106" s="2">
        <f aca="true" t="shared" si="140" ref="CV106:CV127">AH106</f>
        <v>0</v>
      </c>
      <c r="CW106" s="2">
        <f aca="true" t="shared" si="141" ref="CW106:CW127">AI106</f>
        <v>0</v>
      </c>
      <c r="CX106" s="2">
        <f aca="true" t="shared" si="142" ref="CX106:CX127">AJ106</f>
        <v>0</v>
      </c>
      <c r="CY106" s="2">
        <f aca="true" t="shared" si="143" ref="CY106:CY127">(((S106+R106)*AT106)/100)</f>
        <v>0</v>
      </c>
      <c r="CZ106" s="2">
        <f aca="true" t="shared" si="144" ref="CZ106:CZ127">(((S106+R106)*AU106)/100)</f>
        <v>0</v>
      </c>
      <c r="DA106" s="2"/>
      <c r="DB106" s="2"/>
      <c r="DC106" s="2" t="s">
        <v>3</v>
      </c>
      <c r="DD106" s="2" t="s">
        <v>3</v>
      </c>
      <c r="DE106" s="2" t="s">
        <v>3</v>
      </c>
      <c r="DF106" s="2" t="s">
        <v>3</v>
      </c>
      <c r="DG106" s="2" t="s">
        <v>3</v>
      </c>
      <c r="DH106" s="2" t="s">
        <v>3</v>
      </c>
      <c r="DI106" s="2" t="s">
        <v>3</v>
      </c>
      <c r="DJ106" s="2" t="s">
        <v>3</v>
      </c>
      <c r="DK106" s="2" t="s">
        <v>3</v>
      </c>
      <c r="DL106" s="2" t="s">
        <v>3</v>
      </c>
      <c r="DM106" s="2" t="s">
        <v>3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1007</v>
      </c>
      <c r="DV106" s="2" t="s">
        <v>160</v>
      </c>
      <c r="DW106" s="2" t="s">
        <v>160</v>
      </c>
      <c r="DX106" s="2">
        <v>1</v>
      </c>
      <c r="DY106" s="2"/>
      <c r="DZ106" s="2" t="s">
        <v>3</v>
      </c>
      <c r="EA106" s="2" t="s">
        <v>3</v>
      </c>
      <c r="EB106" s="2" t="s">
        <v>3</v>
      </c>
      <c r="EC106" s="2" t="s">
        <v>3</v>
      </c>
      <c r="ED106" s="2"/>
      <c r="EE106" s="2">
        <v>55471657</v>
      </c>
      <c r="EF106" s="2">
        <v>2</v>
      </c>
      <c r="EG106" s="2" t="s">
        <v>60</v>
      </c>
      <c r="EH106" s="2">
        <v>8</v>
      </c>
      <c r="EI106" s="2" t="s">
        <v>212</v>
      </c>
      <c r="EJ106" s="2">
        <v>1</v>
      </c>
      <c r="EK106" s="2">
        <v>8001</v>
      </c>
      <c r="EL106" s="2" t="s">
        <v>212</v>
      </c>
      <c r="EM106" s="2" t="s">
        <v>213</v>
      </c>
      <c r="EN106" s="2"/>
      <c r="EO106" s="2" t="s">
        <v>3</v>
      </c>
      <c r="EP106" s="2"/>
      <c r="EQ106" s="2">
        <v>0</v>
      </c>
      <c r="ER106" s="2">
        <v>424.88</v>
      </c>
      <c r="ES106" s="2">
        <v>424.88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aca="true" t="shared" si="145" ref="FR106:FR127">ROUND(IF(AND(BH106=3,BI106=3),P106,0),2)</f>
        <v>0</v>
      </c>
      <c r="FS106" s="2">
        <v>0</v>
      </c>
      <c r="FT106" s="2"/>
      <c r="FU106" s="2"/>
      <c r="FV106" s="2"/>
      <c r="FW106" s="2"/>
      <c r="FX106" s="2">
        <v>110</v>
      </c>
      <c r="FY106" s="2">
        <v>69</v>
      </c>
      <c r="FZ106" s="2"/>
      <c r="GA106" s="2" t="s">
        <v>3</v>
      </c>
      <c r="GB106" s="2"/>
      <c r="GC106" s="2"/>
      <c r="GD106" s="2">
        <v>1</v>
      </c>
      <c r="GE106" s="2"/>
      <c r="GF106" s="2">
        <v>1410907061</v>
      </c>
      <c r="GG106" s="2">
        <v>2</v>
      </c>
      <c r="GH106" s="2">
        <v>1</v>
      </c>
      <c r="GI106" s="2">
        <v>-2</v>
      </c>
      <c r="GJ106" s="2">
        <v>0</v>
      </c>
      <c r="GK106" s="2">
        <v>0</v>
      </c>
      <c r="GL106" s="2">
        <f aca="true" t="shared" si="146" ref="GL106:GL127">ROUND(IF(AND(BH106=3,BI106=3,FS106&lt;&gt;0),P106,0),2)</f>
        <v>0</v>
      </c>
      <c r="GM106" s="2">
        <f aca="true" t="shared" si="147" ref="GM106:GM127">ROUND(O106+X106+Y106,2)+GX106</f>
        <v>2282.58</v>
      </c>
      <c r="GN106" s="2">
        <f aca="true" t="shared" si="148" ref="GN106:GN127">IF(OR(BI106=0,BI106=1),ROUND(O106+X106+Y106,2),0)</f>
        <v>2282.58</v>
      </c>
      <c r="GO106" s="2">
        <f aca="true" t="shared" si="149" ref="GO106:GO127">IF(BI106=2,ROUND(O106+X106+Y106,2),0)</f>
        <v>0</v>
      </c>
      <c r="GP106" s="2">
        <f aca="true" t="shared" si="150" ref="GP106:GP127">IF(BI106=4,ROUND(O106+X106+Y106,2)+GX106,0)</f>
        <v>0</v>
      </c>
      <c r="GQ106" s="2"/>
      <c r="GR106" s="2">
        <v>0</v>
      </c>
      <c r="GS106" s="2">
        <v>3</v>
      </c>
      <c r="GT106" s="2">
        <v>0</v>
      </c>
      <c r="GU106" s="2" t="s">
        <v>3</v>
      </c>
      <c r="GV106" s="2">
        <f aca="true" t="shared" si="151" ref="GV106:GV127">ROUND((GT106),2)</f>
        <v>0</v>
      </c>
      <c r="GW106" s="2">
        <v>1</v>
      </c>
      <c r="GX106" s="2">
        <f aca="true" t="shared" si="152" ref="GX106:GX127">ROUND(HC106*I106,2)</f>
        <v>0</v>
      </c>
      <c r="GY106" s="2"/>
      <c r="GZ106" s="2"/>
      <c r="HA106" s="2">
        <v>0</v>
      </c>
      <c r="HB106" s="2">
        <v>0</v>
      </c>
      <c r="HC106" s="2">
        <f aca="true" t="shared" si="153" ref="HC106:HC127">GV106*GW106</f>
        <v>0</v>
      </c>
      <c r="HD106" s="2"/>
      <c r="HE106" s="2" t="s">
        <v>3</v>
      </c>
      <c r="HF106" s="2" t="s">
        <v>3</v>
      </c>
      <c r="HG106" s="2"/>
      <c r="HH106" s="2"/>
      <c r="HI106" s="2">
        <f aca="true" t="shared" si="154" ref="HI106:HI127">ROUND(R106*BS106,2)</f>
        <v>0</v>
      </c>
      <c r="HJ106" s="2">
        <f aca="true" t="shared" si="155" ref="HJ106:HJ127">ROUND(S106*BA106,2)</f>
        <v>0</v>
      </c>
      <c r="HK106" s="2">
        <f aca="true" t="shared" si="156" ref="HK106:HK127">ROUND((((HJ106+HI106)*AT106)/100),2)</f>
        <v>0</v>
      </c>
      <c r="HL106" s="2">
        <f aca="true" t="shared" si="157" ref="HL106:HL127">ROUND((((HJ106+HI106)*AU106)/100),2)</f>
        <v>0</v>
      </c>
      <c r="HM106" s="2" t="s">
        <v>3</v>
      </c>
      <c r="HN106" s="2" t="s">
        <v>214</v>
      </c>
      <c r="HO106" s="2" t="s">
        <v>215</v>
      </c>
      <c r="HP106" s="2" t="s">
        <v>212</v>
      </c>
      <c r="HQ106" s="2" t="s">
        <v>212</v>
      </c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45" ht="12.75">
      <c r="A107">
        <v>18</v>
      </c>
      <c r="B107">
        <v>1</v>
      </c>
      <c r="C107">
        <v>102</v>
      </c>
      <c r="E107" t="s">
        <v>216</v>
      </c>
      <c r="F107" t="s">
        <v>217</v>
      </c>
      <c r="G107" t="s">
        <v>218</v>
      </c>
      <c r="H107" t="s">
        <v>160</v>
      </c>
      <c r="I107">
        <f>I105*J107</f>
        <v>5.3723</v>
      </c>
      <c r="J107">
        <v>3.1</v>
      </c>
      <c r="K107">
        <v>3.1</v>
      </c>
      <c r="O107">
        <f t="shared" si="121"/>
        <v>2282.58</v>
      </c>
      <c r="P107">
        <f t="shared" si="122"/>
        <v>2282.58</v>
      </c>
      <c r="Q107">
        <f t="shared" si="123"/>
        <v>0</v>
      </c>
      <c r="R107">
        <f t="shared" si="124"/>
        <v>0</v>
      </c>
      <c r="S107">
        <f t="shared" si="125"/>
        <v>0</v>
      </c>
      <c r="T107">
        <f t="shared" si="126"/>
        <v>0</v>
      </c>
      <c r="U107">
        <f t="shared" si="127"/>
        <v>0</v>
      </c>
      <c r="V107">
        <f t="shared" si="128"/>
        <v>0</v>
      </c>
      <c r="W107">
        <f t="shared" si="129"/>
        <v>0</v>
      </c>
      <c r="X107">
        <f t="shared" si="130"/>
        <v>0</v>
      </c>
      <c r="Y107">
        <f t="shared" si="131"/>
        <v>0</v>
      </c>
      <c r="AA107">
        <v>55463412</v>
      </c>
      <c r="AB107">
        <f t="shared" si="132"/>
        <v>424.88</v>
      </c>
      <c r="AC107">
        <f t="shared" si="120"/>
        <v>424.88</v>
      </c>
      <c r="AD107">
        <f>ROUND((((ET107)-(EU107))+AE107),2)</f>
        <v>0</v>
      </c>
      <c r="AE107">
        <f>ROUND((EU107),2)</f>
        <v>0</v>
      </c>
      <c r="AF107">
        <f>ROUND((EV107),2)</f>
        <v>0</v>
      </c>
      <c r="AG107">
        <f t="shared" si="133"/>
        <v>0</v>
      </c>
      <c r="AH107">
        <f>(EW107)</f>
        <v>0</v>
      </c>
      <c r="AI107">
        <f>(EX107)</f>
        <v>0</v>
      </c>
      <c r="AJ107">
        <f t="shared" si="134"/>
        <v>0</v>
      </c>
      <c r="AK107">
        <v>424.88</v>
      </c>
      <c r="AL107">
        <v>424.88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110</v>
      </c>
      <c r="AU107">
        <v>69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1</v>
      </c>
      <c r="BH107">
        <v>3</v>
      </c>
      <c r="BI107">
        <v>1</v>
      </c>
      <c r="BJ107" t="s">
        <v>219</v>
      </c>
      <c r="BM107">
        <v>8001</v>
      </c>
      <c r="BN107">
        <v>0</v>
      </c>
      <c r="BO107" t="s">
        <v>32</v>
      </c>
      <c r="BP107">
        <v>1</v>
      </c>
      <c r="BQ107">
        <v>2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110</v>
      </c>
      <c r="CA107">
        <v>69</v>
      </c>
      <c r="CE107">
        <v>0</v>
      </c>
      <c r="CF107">
        <v>0</v>
      </c>
      <c r="CG107">
        <v>0</v>
      </c>
      <c r="CM107">
        <v>0</v>
      </c>
      <c r="CO107">
        <v>0</v>
      </c>
      <c r="CP107">
        <f t="shared" si="135"/>
        <v>2282.58</v>
      </c>
      <c r="CQ107">
        <f t="shared" si="136"/>
        <v>424.88</v>
      </c>
      <c r="CR107">
        <f>(((ET107)*BB107-(EU107))+AE107)</f>
        <v>0</v>
      </c>
      <c r="CS107">
        <f t="shared" si="137"/>
        <v>0</v>
      </c>
      <c r="CT107">
        <f t="shared" si="138"/>
        <v>0</v>
      </c>
      <c r="CU107">
        <f t="shared" si="139"/>
        <v>0</v>
      </c>
      <c r="CV107">
        <f t="shared" si="140"/>
        <v>0</v>
      </c>
      <c r="CW107">
        <f t="shared" si="141"/>
        <v>0</v>
      </c>
      <c r="CX107">
        <f t="shared" si="142"/>
        <v>0</v>
      </c>
      <c r="CY107">
        <f t="shared" si="143"/>
        <v>0</v>
      </c>
      <c r="CZ107">
        <f t="shared" si="144"/>
        <v>0</v>
      </c>
      <c r="DN107">
        <v>0</v>
      </c>
      <c r="DO107">
        <v>0</v>
      </c>
      <c r="DP107">
        <v>1</v>
      </c>
      <c r="DQ107">
        <v>1</v>
      </c>
      <c r="DU107">
        <v>1007</v>
      </c>
      <c r="DV107" t="s">
        <v>160</v>
      </c>
      <c r="DW107" t="s">
        <v>160</v>
      </c>
      <c r="DX107">
        <v>1</v>
      </c>
      <c r="EE107">
        <v>55471657</v>
      </c>
      <c r="EF107">
        <v>2</v>
      </c>
      <c r="EG107" t="s">
        <v>60</v>
      </c>
      <c r="EH107">
        <v>8</v>
      </c>
      <c r="EI107" t="s">
        <v>212</v>
      </c>
      <c r="EJ107">
        <v>1</v>
      </c>
      <c r="EK107">
        <v>8001</v>
      </c>
      <c r="EL107" t="s">
        <v>212</v>
      </c>
      <c r="EM107" t="s">
        <v>213</v>
      </c>
      <c r="EQ107">
        <v>0</v>
      </c>
      <c r="ER107">
        <v>424.88</v>
      </c>
      <c r="ES107">
        <v>424.88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45"/>
        <v>0</v>
      </c>
      <c r="FS107">
        <v>0</v>
      </c>
      <c r="FX107">
        <v>110</v>
      </c>
      <c r="FY107">
        <v>69</v>
      </c>
      <c r="GD107">
        <v>1</v>
      </c>
      <c r="GF107">
        <v>1410907061</v>
      </c>
      <c r="GG107">
        <v>2</v>
      </c>
      <c r="GH107">
        <v>1</v>
      </c>
      <c r="GI107">
        <v>4</v>
      </c>
      <c r="GJ107">
        <v>0</v>
      </c>
      <c r="GK107">
        <v>0</v>
      </c>
      <c r="GL107">
        <f t="shared" si="146"/>
        <v>0</v>
      </c>
      <c r="GM107">
        <f t="shared" si="147"/>
        <v>2282.58</v>
      </c>
      <c r="GN107">
        <f t="shared" si="148"/>
        <v>2282.58</v>
      </c>
      <c r="GO107">
        <f t="shared" si="149"/>
        <v>0</v>
      </c>
      <c r="GP107">
        <f t="shared" si="150"/>
        <v>0</v>
      </c>
      <c r="GR107">
        <v>0</v>
      </c>
      <c r="GS107">
        <v>3</v>
      </c>
      <c r="GT107">
        <v>0</v>
      </c>
      <c r="GV107">
        <f t="shared" si="151"/>
        <v>0</v>
      </c>
      <c r="GW107">
        <v>1</v>
      </c>
      <c r="GX107">
        <f t="shared" si="152"/>
        <v>0</v>
      </c>
      <c r="HA107">
        <v>0</v>
      </c>
      <c r="HB107">
        <v>0</v>
      </c>
      <c r="HC107">
        <f t="shared" si="153"/>
        <v>0</v>
      </c>
      <c r="HI107">
        <f t="shared" si="154"/>
        <v>0</v>
      </c>
      <c r="HJ107">
        <f t="shared" si="155"/>
        <v>0</v>
      </c>
      <c r="HK107">
        <f t="shared" si="156"/>
        <v>0</v>
      </c>
      <c r="HL107">
        <f t="shared" si="157"/>
        <v>0</v>
      </c>
      <c r="HN107" t="s">
        <v>214</v>
      </c>
      <c r="HO107" t="s">
        <v>215</v>
      </c>
      <c r="HP107" t="s">
        <v>212</v>
      </c>
      <c r="HQ107" t="s">
        <v>212</v>
      </c>
      <c r="IK107">
        <v>0</v>
      </c>
    </row>
    <row r="108" spans="1:255" ht="12.75">
      <c r="A108" s="2">
        <v>17</v>
      </c>
      <c r="B108" s="2">
        <v>1</v>
      </c>
      <c r="C108" s="2">
        <f>ROW(SmtRes!A110)</f>
        <v>110</v>
      </c>
      <c r="D108" s="2">
        <f>ROW(EtalonRes!A109)</f>
        <v>109</v>
      </c>
      <c r="E108" s="2" t="s">
        <v>220</v>
      </c>
      <c r="F108" s="2" t="s">
        <v>221</v>
      </c>
      <c r="G108" s="2" t="s">
        <v>222</v>
      </c>
      <c r="H108" s="2" t="s">
        <v>53</v>
      </c>
      <c r="I108" s="2">
        <f>ROUND(60/100,7)</f>
        <v>0.6</v>
      </c>
      <c r="J108" s="2">
        <v>0</v>
      </c>
      <c r="K108" s="2">
        <f>ROUND(60/100,7)</f>
        <v>0.6</v>
      </c>
      <c r="L108" s="2"/>
      <c r="M108" s="2"/>
      <c r="N108" s="2"/>
      <c r="O108" s="2">
        <f t="shared" si="121"/>
        <v>1964.94</v>
      </c>
      <c r="P108" s="2">
        <f t="shared" si="122"/>
        <v>1502.72</v>
      </c>
      <c r="Q108" s="2">
        <f t="shared" si="123"/>
        <v>54.77</v>
      </c>
      <c r="R108" s="2">
        <f t="shared" si="124"/>
        <v>6.53</v>
      </c>
      <c r="S108" s="2">
        <f t="shared" si="125"/>
        <v>407.45</v>
      </c>
      <c r="T108" s="2">
        <f t="shared" si="126"/>
        <v>0</v>
      </c>
      <c r="U108" s="2">
        <f t="shared" si="127"/>
        <v>48.162</v>
      </c>
      <c r="V108" s="2">
        <f t="shared" si="128"/>
        <v>0.4875</v>
      </c>
      <c r="W108" s="2">
        <f t="shared" si="129"/>
        <v>0</v>
      </c>
      <c r="X108" s="2">
        <f t="shared" si="130"/>
        <v>547.7</v>
      </c>
      <c r="Y108" s="2">
        <f t="shared" si="131"/>
        <v>471.52</v>
      </c>
      <c r="Z108" s="2"/>
      <c r="AA108" s="2">
        <v>55463411</v>
      </c>
      <c r="AB108" s="2">
        <f t="shared" si="132"/>
        <v>3274.9</v>
      </c>
      <c r="AC108" s="2">
        <f t="shared" si="120"/>
        <v>2504.53</v>
      </c>
      <c r="AD108" s="2">
        <f>ROUND(((((ET108*ROUND(1.25,7)))-((EU108*ROUND(1.25,7))))+AE108),2)</f>
        <v>91.28</v>
      </c>
      <c r="AE108" s="2">
        <f>ROUND(((EU108*ROUND(1.25,7))),2)</f>
        <v>10.88</v>
      </c>
      <c r="AF108" s="2">
        <f>ROUND(((EV108*ROUND(1.15,7))),2)</f>
        <v>679.09</v>
      </c>
      <c r="AG108" s="2">
        <f t="shared" si="133"/>
        <v>0</v>
      </c>
      <c r="AH108" s="2">
        <f>((EW108*ROUND(1.15,7)))</f>
        <v>80.27</v>
      </c>
      <c r="AI108" s="2">
        <f>((EX108*ROUND(1.25,7)))</f>
        <v>0.8125</v>
      </c>
      <c r="AJ108" s="2">
        <f t="shared" si="134"/>
        <v>0</v>
      </c>
      <c r="AK108" s="2">
        <v>3168.06</v>
      </c>
      <c r="AL108" s="2">
        <v>2504.53</v>
      </c>
      <c r="AM108" s="2">
        <v>73.02</v>
      </c>
      <c r="AN108" s="2">
        <v>8.7</v>
      </c>
      <c r="AO108" s="2">
        <v>590.51</v>
      </c>
      <c r="AP108" s="2">
        <v>0</v>
      </c>
      <c r="AQ108" s="2">
        <v>69.8</v>
      </c>
      <c r="AR108" s="2">
        <v>0.65</v>
      </c>
      <c r="AS108" s="2">
        <v>0</v>
      </c>
      <c r="AT108" s="2">
        <v>132.3</v>
      </c>
      <c r="AU108" s="2">
        <v>113.9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3</v>
      </c>
      <c r="BE108" s="2" t="s">
        <v>3</v>
      </c>
      <c r="BF108" s="2" t="s">
        <v>3</v>
      </c>
      <c r="BG108" s="2" t="s">
        <v>3</v>
      </c>
      <c r="BH108" s="2">
        <v>0</v>
      </c>
      <c r="BI108" s="2">
        <v>1</v>
      </c>
      <c r="BJ108" s="2" t="s">
        <v>223</v>
      </c>
      <c r="BK108" s="2"/>
      <c r="BL108" s="2"/>
      <c r="BM108" s="2">
        <v>27001</v>
      </c>
      <c r="BN108" s="2">
        <v>0</v>
      </c>
      <c r="BO108" s="2" t="s">
        <v>3</v>
      </c>
      <c r="BP108" s="2">
        <v>0</v>
      </c>
      <c r="BQ108" s="2">
        <v>2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3</v>
      </c>
      <c r="BZ108" s="2">
        <v>147</v>
      </c>
      <c r="CA108" s="2">
        <v>134</v>
      </c>
      <c r="CB108" s="2" t="s">
        <v>3</v>
      </c>
      <c r="CC108" s="2"/>
      <c r="CD108" s="2"/>
      <c r="CE108" s="2">
        <v>0</v>
      </c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480</v>
      </c>
      <c r="CO108" s="2">
        <v>0</v>
      </c>
      <c r="CP108" s="2">
        <f t="shared" si="135"/>
        <v>1964.94</v>
      </c>
      <c r="CQ108" s="2">
        <f t="shared" si="136"/>
        <v>2504.53</v>
      </c>
      <c r="CR108" s="2">
        <f>((((ET108*ROUND(1.25,7)))*BB108-((EU108*ROUND(1.25,7))))+AE108)</f>
        <v>91.27999999999999</v>
      </c>
      <c r="CS108" s="2">
        <f t="shared" si="137"/>
        <v>10.88</v>
      </c>
      <c r="CT108" s="2">
        <f t="shared" si="138"/>
        <v>679.09</v>
      </c>
      <c r="CU108" s="2">
        <f t="shared" si="139"/>
        <v>0</v>
      </c>
      <c r="CV108" s="2">
        <f t="shared" si="140"/>
        <v>80.27</v>
      </c>
      <c r="CW108" s="2">
        <f t="shared" si="141"/>
        <v>0.8125</v>
      </c>
      <c r="CX108" s="2">
        <f t="shared" si="142"/>
        <v>0</v>
      </c>
      <c r="CY108" s="2">
        <f t="shared" si="143"/>
        <v>547.6955399999999</v>
      </c>
      <c r="CZ108" s="2">
        <f t="shared" si="144"/>
        <v>471.52322</v>
      </c>
      <c r="DA108" s="2"/>
      <c r="DB108" s="2"/>
      <c r="DC108" s="2" t="s">
        <v>3</v>
      </c>
      <c r="DD108" s="2" t="s">
        <v>3</v>
      </c>
      <c r="DE108" s="2" t="s">
        <v>56</v>
      </c>
      <c r="DF108" s="2" t="s">
        <v>56</v>
      </c>
      <c r="DG108" s="2" t="s">
        <v>57</v>
      </c>
      <c r="DH108" s="2" t="s">
        <v>3</v>
      </c>
      <c r="DI108" s="2" t="s">
        <v>57</v>
      </c>
      <c r="DJ108" s="2" t="s">
        <v>56</v>
      </c>
      <c r="DK108" s="2" t="s">
        <v>3</v>
      </c>
      <c r="DL108" s="2" t="s">
        <v>58</v>
      </c>
      <c r="DM108" s="2" t="s">
        <v>59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1003</v>
      </c>
      <c r="DV108" s="2" t="s">
        <v>53</v>
      </c>
      <c r="DW108" s="2" t="s">
        <v>53</v>
      </c>
      <c r="DX108" s="2">
        <v>100</v>
      </c>
      <c r="DY108" s="2"/>
      <c r="DZ108" s="2" t="s">
        <v>3</v>
      </c>
      <c r="EA108" s="2" t="s">
        <v>3</v>
      </c>
      <c r="EB108" s="2" t="s">
        <v>3</v>
      </c>
      <c r="EC108" s="2" t="s">
        <v>3</v>
      </c>
      <c r="ED108" s="2"/>
      <c r="EE108" s="2">
        <v>55471715</v>
      </c>
      <c r="EF108" s="2">
        <v>2</v>
      </c>
      <c r="EG108" s="2" t="s">
        <v>60</v>
      </c>
      <c r="EH108" s="2">
        <v>21</v>
      </c>
      <c r="EI108" s="2" t="s">
        <v>61</v>
      </c>
      <c r="EJ108" s="2">
        <v>1</v>
      </c>
      <c r="EK108" s="2">
        <v>27001</v>
      </c>
      <c r="EL108" s="2" t="s">
        <v>61</v>
      </c>
      <c r="EM108" s="2" t="s">
        <v>63</v>
      </c>
      <c r="EN108" s="2"/>
      <c r="EO108" s="2" t="s">
        <v>139</v>
      </c>
      <c r="EP108" s="2"/>
      <c r="EQ108" s="2">
        <v>0</v>
      </c>
      <c r="ER108" s="2">
        <v>3168.06</v>
      </c>
      <c r="ES108" s="2">
        <v>2504.53</v>
      </c>
      <c r="ET108" s="2">
        <v>73.02</v>
      </c>
      <c r="EU108" s="2">
        <v>8.7</v>
      </c>
      <c r="EV108" s="2">
        <v>590.51</v>
      </c>
      <c r="EW108" s="2">
        <v>69.8</v>
      </c>
      <c r="EX108" s="2">
        <v>0.65</v>
      </c>
      <c r="EY108" s="2">
        <v>0</v>
      </c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45"/>
        <v>0</v>
      </c>
      <c r="FS108" s="2">
        <v>0</v>
      </c>
      <c r="FT108" s="2"/>
      <c r="FU108" s="2"/>
      <c r="FV108" s="2"/>
      <c r="FW108" s="2"/>
      <c r="FX108" s="2">
        <v>132.3</v>
      </c>
      <c r="FY108" s="2">
        <v>113.9</v>
      </c>
      <c r="FZ108" s="2"/>
      <c r="GA108" s="2" t="s">
        <v>3</v>
      </c>
      <c r="GB108" s="2"/>
      <c r="GC108" s="2"/>
      <c r="GD108" s="2">
        <v>1</v>
      </c>
      <c r="GE108" s="2"/>
      <c r="GF108" s="2">
        <v>2028724672</v>
      </c>
      <c r="GG108" s="2">
        <v>2</v>
      </c>
      <c r="GH108" s="2">
        <v>1</v>
      </c>
      <c r="GI108" s="2">
        <v>-2</v>
      </c>
      <c r="GJ108" s="2">
        <v>0</v>
      </c>
      <c r="GK108" s="2">
        <v>0</v>
      </c>
      <c r="GL108" s="2">
        <f t="shared" si="146"/>
        <v>0</v>
      </c>
      <c r="GM108" s="2">
        <f t="shared" si="147"/>
        <v>2984.16</v>
      </c>
      <c r="GN108" s="2">
        <f t="shared" si="148"/>
        <v>2984.16</v>
      </c>
      <c r="GO108" s="2">
        <f t="shared" si="149"/>
        <v>0</v>
      </c>
      <c r="GP108" s="2">
        <f t="shared" si="150"/>
        <v>0</v>
      </c>
      <c r="GQ108" s="2"/>
      <c r="GR108" s="2">
        <v>0</v>
      </c>
      <c r="GS108" s="2">
        <v>3</v>
      </c>
      <c r="GT108" s="2">
        <v>0</v>
      </c>
      <c r="GU108" s="2" t="s">
        <v>3</v>
      </c>
      <c r="GV108" s="2">
        <f t="shared" si="151"/>
        <v>0</v>
      </c>
      <c r="GW108" s="2">
        <v>1</v>
      </c>
      <c r="GX108" s="2">
        <f t="shared" si="152"/>
        <v>0</v>
      </c>
      <c r="GY108" s="2"/>
      <c r="GZ108" s="2"/>
      <c r="HA108" s="2">
        <v>0</v>
      </c>
      <c r="HB108" s="2">
        <v>0</v>
      </c>
      <c r="HC108" s="2">
        <f t="shared" si="153"/>
        <v>0</v>
      </c>
      <c r="HD108" s="2"/>
      <c r="HE108" s="2" t="s">
        <v>3</v>
      </c>
      <c r="HF108" s="2" t="s">
        <v>3</v>
      </c>
      <c r="HG108" s="2"/>
      <c r="HH108" s="2"/>
      <c r="HI108" s="2">
        <f t="shared" si="154"/>
        <v>6.53</v>
      </c>
      <c r="HJ108" s="2">
        <f t="shared" si="155"/>
        <v>407.45</v>
      </c>
      <c r="HK108" s="2">
        <f t="shared" si="156"/>
        <v>547.7</v>
      </c>
      <c r="HL108" s="2">
        <f t="shared" si="157"/>
        <v>471.52</v>
      </c>
      <c r="HM108" s="2" t="s">
        <v>3</v>
      </c>
      <c r="HN108" s="2" t="s">
        <v>65</v>
      </c>
      <c r="HO108" s="2" t="s">
        <v>66</v>
      </c>
      <c r="HP108" s="2" t="s">
        <v>61</v>
      </c>
      <c r="HQ108" s="2" t="s">
        <v>61</v>
      </c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45" ht="12.75">
      <c r="A109">
        <v>17</v>
      </c>
      <c r="B109">
        <v>1</v>
      </c>
      <c r="C109">
        <f>ROW(SmtRes!A118)</f>
        <v>118</v>
      </c>
      <c r="D109">
        <f>ROW(EtalonRes!A118)</f>
        <v>118</v>
      </c>
      <c r="E109" t="s">
        <v>220</v>
      </c>
      <c r="F109" t="s">
        <v>221</v>
      </c>
      <c r="G109" t="s">
        <v>222</v>
      </c>
      <c r="H109" t="s">
        <v>53</v>
      </c>
      <c r="I109">
        <f>ROUND(60/100,7)</f>
        <v>0.6</v>
      </c>
      <c r="J109">
        <v>0</v>
      </c>
      <c r="K109">
        <f>ROUND(60/100,7)</f>
        <v>0.6</v>
      </c>
      <c r="O109">
        <f t="shared" si="121"/>
        <v>1964.94</v>
      </c>
      <c r="P109">
        <f t="shared" si="122"/>
        <v>1502.72</v>
      </c>
      <c r="Q109">
        <f t="shared" si="123"/>
        <v>54.77</v>
      </c>
      <c r="R109">
        <f t="shared" si="124"/>
        <v>6.53</v>
      </c>
      <c r="S109">
        <f t="shared" si="125"/>
        <v>407.45</v>
      </c>
      <c r="T109">
        <f t="shared" si="126"/>
        <v>0</v>
      </c>
      <c r="U109">
        <f t="shared" si="127"/>
        <v>48.162</v>
      </c>
      <c r="V109">
        <f t="shared" si="128"/>
        <v>0.4875</v>
      </c>
      <c r="W109">
        <f t="shared" si="129"/>
        <v>0</v>
      </c>
      <c r="X109">
        <f t="shared" si="130"/>
        <v>547.7</v>
      </c>
      <c r="Y109">
        <f t="shared" si="131"/>
        <v>471.52</v>
      </c>
      <c r="AA109">
        <v>55463412</v>
      </c>
      <c r="AB109">
        <f t="shared" si="132"/>
        <v>3274.9</v>
      </c>
      <c r="AC109">
        <f t="shared" si="120"/>
        <v>2504.53</v>
      </c>
      <c r="AD109">
        <f>ROUND(((((ET109*ROUND(1.25,7)))-((EU109*ROUND(1.25,7))))+AE109),2)</f>
        <v>91.28</v>
      </c>
      <c r="AE109">
        <f>ROUND(((EU109*ROUND(1.25,7))),2)</f>
        <v>10.88</v>
      </c>
      <c r="AF109">
        <f>ROUND(((EV109*ROUND(1.15,7))),2)</f>
        <v>679.09</v>
      </c>
      <c r="AG109">
        <f t="shared" si="133"/>
        <v>0</v>
      </c>
      <c r="AH109">
        <f>((EW109*ROUND(1.15,7)))</f>
        <v>80.27</v>
      </c>
      <c r="AI109">
        <f>((EX109*ROUND(1.25,7)))</f>
        <v>0.8125</v>
      </c>
      <c r="AJ109">
        <f t="shared" si="134"/>
        <v>0</v>
      </c>
      <c r="AK109">
        <v>3168.06</v>
      </c>
      <c r="AL109">
        <v>2504.53</v>
      </c>
      <c r="AM109">
        <v>73.02</v>
      </c>
      <c r="AN109">
        <v>8.7</v>
      </c>
      <c r="AO109">
        <v>590.51</v>
      </c>
      <c r="AP109">
        <v>0</v>
      </c>
      <c r="AQ109">
        <v>69.8</v>
      </c>
      <c r="AR109">
        <v>0.65</v>
      </c>
      <c r="AS109">
        <v>0</v>
      </c>
      <c r="AT109">
        <v>132.3</v>
      </c>
      <c r="AU109">
        <v>113.9</v>
      </c>
      <c r="AV109">
        <v>1</v>
      </c>
      <c r="AW109">
        <v>1</v>
      </c>
      <c r="AZ109">
        <v>1</v>
      </c>
      <c r="BA109">
        <v>36.47</v>
      </c>
      <c r="BB109">
        <v>1</v>
      </c>
      <c r="BC109">
        <v>1</v>
      </c>
      <c r="BH109">
        <v>0</v>
      </c>
      <c r="BI109">
        <v>1</v>
      </c>
      <c r="BJ109" t="s">
        <v>223</v>
      </c>
      <c r="BM109">
        <v>27001</v>
      </c>
      <c r="BN109">
        <v>0</v>
      </c>
      <c r="BO109" t="s">
        <v>32</v>
      </c>
      <c r="BP109">
        <v>1</v>
      </c>
      <c r="BQ109">
        <v>2</v>
      </c>
      <c r="BR109">
        <v>0</v>
      </c>
      <c r="BS109">
        <v>36.47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147</v>
      </c>
      <c r="CA109">
        <v>134</v>
      </c>
      <c r="CE109">
        <v>0</v>
      </c>
      <c r="CF109">
        <v>0</v>
      </c>
      <c r="CG109">
        <v>0</v>
      </c>
      <c r="CM109">
        <v>0</v>
      </c>
      <c r="CN109" t="s">
        <v>480</v>
      </c>
      <c r="CO109">
        <v>0</v>
      </c>
      <c r="CP109">
        <f t="shared" si="135"/>
        <v>1964.94</v>
      </c>
      <c r="CQ109">
        <f t="shared" si="136"/>
        <v>2504.53</v>
      </c>
      <c r="CR109">
        <f>((((ET109*ROUND(1.25,7)))*BB109-((EU109*ROUND(1.25,7))))+AE109)</f>
        <v>91.27999999999999</v>
      </c>
      <c r="CS109">
        <f t="shared" si="137"/>
        <v>10.88</v>
      </c>
      <c r="CT109">
        <f t="shared" si="138"/>
        <v>679.09</v>
      </c>
      <c r="CU109">
        <f t="shared" si="139"/>
        <v>0</v>
      </c>
      <c r="CV109">
        <f t="shared" si="140"/>
        <v>80.27</v>
      </c>
      <c r="CW109">
        <f t="shared" si="141"/>
        <v>0.8125</v>
      </c>
      <c r="CX109">
        <f t="shared" si="142"/>
        <v>0</v>
      </c>
      <c r="CY109">
        <f t="shared" si="143"/>
        <v>547.6955399999999</v>
      </c>
      <c r="CZ109">
        <f t="shared" si="144"/>
        <v>471.52322</v>
      </c>
      <c r="DE109" t="s">
        <v>56</v>
      </c>
      <c r="DF109" t="s">
        <v>56</v>
      </c>
      <c r="DG109" t="s">
        <v>57</v>
      </c>
      <c r="DI109" t="s">
        <v>57</v>
      </c>
      <c r="DJ109" t="s">
        <v>56</v>
      </c>
      <c r="DL109" t="s">
        <v>58</v>
      </c>
      <c r="DM109" t="s">
        <v>59</v>
      </c>
      <c r="DN109">
        <v>0</v>
      </c>
      <c r="DO109">
        <v>0</v>
      </c>
      <c r="DP109">
        <v>1</v>
      </c>
      <c r="DQ109">
        <v>1</v>
      </c>
      <c r="DU109">
        <v>1003</v>
      </c>
      <c r="DV109" t="s">
        <v>53</v>
      </c>
      <c r="DW109" t="s">
        <v>53</v>
      </c>
      <c r="DX109">
        <v>100</v>
      </c>
      <c r="EE109">
        <v>55471715</v>
      </c>
      <c r="EF109">
        <v>2</v>
      </c>
      <c r="EG109" t="s">
        <v>60</v>
      </c>
      <c r="EH109">
        <v>21</v>
      </c>
      <c r="EI109" t="s">
        <v>61</v>
      </c>
      <c r="EJ109">
        <v>1</v>
      </c>
      <c r="EK109">
        <v>27001</v>
      </c>
      <c r="EL109" t="s">
        <v>61</v>
      </c>
      <c r="EM109" t="s">
        <v>63</v>
      </c>
      <c r="EO109" t="s">
        <v>139</v>
      </c>
      <c r="EQ109">
        <v>0</v>
      </c>
      <c r="ER109">
        <v>3168.06</v>
      </c>
      <c r="ES109">
        <v>2504.53</v>
      </c>
      <c r="ET109">
        <v>73.02</v>
      </c>
      <c r="EU109">
        <v>8.7</v>
      </c>
      <c r="EV109">
        <v>590.51</v>
      </c>
      <c r="EW109">
        <v>69.8</v>
      </c>
      <c r="EX109">
        <v>0.65</v>
      </c>
      <c r="EY109">
        <v>0</v>
      </c>
      <c r="FQ109">
        <v>0</v>
      </c>
      <c r="FR109">
        <f t="shared" si="145"/>
        <v>0</v>
      </c>
      <c r="FS109">
        <v>0</v>
      </c>
      <c r="FX109">
        <v>132.3</v>
      </c>
      <c r="FY109">
        <v>113.9</v>
      </c>
      <c r="GD109">
        <v>1</v>
      </c>
      <c r="GF109">
        <v>2028724672</v>
      </c>
      <c r="GG109">
        <v>2</v>
      </c>
      <c r="GH109">
        <v>1</v>
      </c>
      <c r="GI109">
        <v>4</v>
      </c>
      <c r="GJ109">
        <v>0</v>
      </c>
      <c r="GK109">
        <v>0</v>
      </c>
      <c r="GL109">
        <f t="shared" si="146"/>
        <v>0</v>
      </c>
      <c r="GM109">
        <f t="shared" si="147"/>
        <v>2984.16</v>
      </c>
      <c r="GN109">
        <f t="shared" si="148"/>
        <v>2984.16</v>
      </c>
      <c r="GO109">
        <f t="shared" si="149"/>
        <v>0</v>
      </c>
      <c r="GP109">
        <f t="shared" si="150"/>
        <v>0</v>
      </c>
      <c r="GR109">
        <v>0</v>
      </c>
      <c r="GS109">
        <v>0</v>
      </c>
      <c r="GT109">
        <v>0</v>
      </c>
      <c r="GV109">
        <f t="shared" si="151"/>
        <v>0</v>
      </c>
      <c r="GW109">
        <v>1</v>
      </c>
      <c r="GX109">
        <f t="shared" si="152"/>
        <v>0</v>
      </c>
      <c r="HA109">
        <v>0</v>
      </c>
      <c r="HB109">
        <v>0</v>
      </c>
      <c r="HC109">
        <f t="shared" si="153"/>
        <v>0</v>
      </c>
      <c r="HI109">
        <f t="shared" si="154"/>
        <v>238.15</v>
      </c>
      <c r="HJ109">
        <f t="shared" si="155"/>
        <v>14859.7</v>
      </c>
      <c r="HK109">
        <f t="shared" si="156"/>
        <v>19974.46</v>
      </c>
      <c r="HL109">
        <f t="shared" si="157"/>
        <v>17196.45</v>
      </c>
      <c r="HN109" t="s">
        <v>65</v>
      </c>
      <c r="HO109" t="s">
        <v>66</v>
      </c>
      <c r="HP109" t="s">
        <v>61</v>
      </c>
      <c r="HQ109" t="s">
        <v>61</v>
      </c>
      <c r="IK109">
        <v>0</v>
      </c>
    </row>
    <row r="110" spans="1:255" ht="12.75">
      <c r="A110" s="2">
        <v>17</v>
      </c>
      <c r="B110" s="2">
        <v>1</v>
      </c>
      <c r="C110" s="2">
        <f>ROW(SmtRes!A128)</f>
        <v>128</v>
      </c>
      <c r="D110" s="2">
        <f>ROW(EtalonRes!A127)</f>
        <v>127</v>
      </c>
      <c r="E110" s="2" t="s">
        <v>224</v>
      </c>
      <c r="F110" s="2" t="s">
        <v>225</v>
      </c>
      <c r="G110" s="2" t="s">
        <v>226</v>
      </c>
      <c r="H110" s="2" t="s">
        <v>25</v>
      </c>
      <c r="I110" s="2">
        <f>ROUND(173.3/100,7)</f>
        <v>1.733</v>
      </c>
      <c r="J110" s="2">
        <v>0</v>
      </c>
      <c r="K110" s="2">
        <f>ROUND(173.3/100,7)</f>
        <v>1.733</v>
      </c>
      <c r="L110" s="2"/>
      <c r="M110" s="2"/>
      <c r="N110" s="2"/>
      <c r="O110" s="2">
        <f t="shared" si="121"/>
        <v>4262.74</v>
      </c>
      <c r="P110" s="2">
        <f t="shared" si="122"/>
        <v>4.52</v>
      </c>
      <c r="Q110" s="2">
        <f t="shared" si="123"/>
        <v>1225.89</v>
      </c>
      <c r="R110" s="2">
        <f t="shared" si="124"/>
        <v>121.21</v>
      </c>
      <c r="S110" s="2">
        <f t="shared" si="125"/>
        <v>3032.33</v>
      </c>
      <c r="T110" s="2">
        <f t="shared" si="126"/>
        <v>0</v>
      </c>
      <c r="U110" s="2">
        <f t="shared" si="127"/>
        <v>342.24930349999994</v>
      </c>
      <c r="V110" s="2">
        <f t="shared" si="128"/>
        <v>10.83125</v>
      </c>
      <c r="W110" s="2">
        <f t="shared" si="129"/>
        <v>0</v>
      </c>
      <c r="X110" s="2">
        <f t="shared" si="130"/>
        <v>4172.13</v>
      </c>
      <c r="Y110" s="2">
        <f t="shared" si="131"/>
        <v>3591.88</v>
      </c>
      <c r="Z110" s="2"/>
      <c r="AA110" s="2">
        <v>55463411</v>
      </c>
      <c r="AB110" s="2">
        <f t="shared" si="132"/>
        <v>2459.75</v>
      </c>
      <c r="AC110" s="2">
        <f t="shared" si="120"/>
        <v>2.61</v>
      </c>
      <c r="AD110" s="2">
        <f>ROUND(((((ET110*ROUND(1.25,7)))-((EU110*ROUND(1.25,7))))+AE110),2)</f>
        <v>707.38</v>
      </c>
      <c r="AE110" s="2">
        <f>ROUND(((EU110*ROUND(1.25,7))),2)</f>
        <v>69.94</v>
      </c>
      <c r="AF110" s="2">
        <f>ROUND(((EV110*ROUND(1.15,7))),2)</f>
        <v>1749.76</v>
      </c>
      <c r="AG110" s="2">
        <f t="shared" si="133"/>
        <v>0</v>
      </c>
      <c r="AH110" s="2">
        <f>((EW110*ROUND(1.15,7)))</f>
        <v>197.48949999999996</v>
      </c>
      <c r="AI110" s="2">
        <f>((EX110*ROUND(1.25,7)))</f>
        <v>6.25</v>
      </c>
      <c r="AJ110" s="2">
        <f t="shared" si="134"/>
        <v>0</v>
      </c>
      <c r="AK110" s="2">
        <v>2090.04</v>
      </c>
      <c r="AL110" s="2">
        <v>2.61</v>
      </c>
      <c r="AM110" s="2">
        <v>565.9</v>
      </c>
      <c r="AN110" s="2">
        <v>55.95</v>
      </c>
      <c r="AO110" s="2">
        <v>1521.53</v>
      </c>
      <c r="AP110" s="2">
        <v>0</v>
      </c>
      <c r="AQ110" s="2">
        <v>171.73</v>
      </c>
      <c r="AR110" s="2">
        <v>5</v>
      </c>
      <c r="AS110" s="2">
        <v>0</v>
      </c>
      <c r="AT110" s="2">
        <v>132.3</v>
      </c>
      <c r="AU110" s="2">
        <v>113.9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3</v>
      </c>
      <c r="BE110" s="2" t="s">
        <v>3</v>
      </c>
      <c r="BF110" s="2" t="s">
        <v>3</v>
      </c>
      <c r="BG110" s="2" t="s">
        <v>3</v>
      </c>
      <c r="BH110" s="2">
        <v>0</v>
      </c>
      <c r="BI110" s="2">
        <v>1</v>
      </c>
      <c r="BJ110" s="2" t="s">
        <v>227</v>
      </c>
      <c r="BK110" s="2"/>
      <c r="BL110" s="2"/>
      <c r="BM110" s="2">
        <v>27001</v>
      </c>
      <c r="BN110" s="2">
        <v>0</v>
      </c>
      <c r="BO110" s="2" t="s">
        <v>3</v>
      </c>
      <c r="BP110" s="2">
        <v>0</v>
      </c>
      <c r="BQ110" s="2">
        <v>2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3</v>
      </c>
      <c r="BZ110" s="2">
        <v>147</v>
      </c>
      <c r="CA110" s="2">
        <v>134</v>
      </c>
      <c r="CB110" s="2" t="s">
        <v>3</v>
      </c>
      <c r="CC110" s="2"/>
      <c r="CD110" s="2"/>
      <c r="CE110" s="2">
        <v>0</v>
      </c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480</v>
      </c>
      <c r="CO110" s="2">
        <v>0</v>
      </c>
      <c r="CP110" s="2">
        <f t="shared" si="135"/>
        <v>4262.74</v>
      </c>
      <c r="CQ110" s="2">
        <f t="shared" si="136"/>
        <v>2.61</v>
      </c>
      <c r="CR110" s="2">
        <f>((((ET110*ROUND(1.25,7)))*BB110-((EU110*ROUND(1.25,7))))+AE110)</f>
        <v>707.3775</v>
      </c>
      <c r="CS110" s="2">
        <f t="shared" si="137"/>
        <v>69.94</v>
      </c>
      <c r="CT110" s="2">
        <f t="shared" si="138"/>
        <v>1749.76</v>
      </c>
      <c r="CU110" s="2">
        <f t="shared" si="139"/>
        <v>0</v>
      </c>
      <c r="CV110" s="2">
        <f t="shared" si="140"/>
        <v>197.48949999999996</v>
      </c>
      <c r="CW110" s="2">
        <f t="shared" si="141"/>
        <v>6.25</v>
      </c>
      <c r="CX110" s="2">
        <f t="shared" si="142"/>
        <v>0</v>
      </c>
      <c r="CY110" s="2">
        <f t="shared" si="143"/>
        <v>4172.13342</v>
      </c>
      <c r="CZ110" s="2">
        <f t="shared" si="144"/>
        <v>3591.88206</v>
      </c>
      <c r="DA110" s="2"/>
      <c r="DB110" s="2"/>
      <c r="DC110" s="2" t="s">
        <v>3</v>
      </c>
      <c r="DD110" s="2" t="s">
        <v>3</v>
      </c>
      <c r="DE110" s="2" t="s">
        <v>56</v>
      </c>
      <c r="DF110" s="2" t="s">
        <v>56</v>
      </c>
      <c r="DG110" s="2" t="s">
        <v>57</v>
      </c>
      <c r="DH110" s="2" t="s">
        <v>3</v>
      </c>
      <c r="DI110" s="2" t="s">
        <v>57</v>
      </c>
      <c r="DJ110" s="2" t="s">
        <v>56</v>
      </c>
      <c r="DK110" s="2" t="s">
        <v>3</v>
      </c>
      <c r="DL110" s="2" t="s">
        <v>58</v>
      </c>
      <c r="DM110" s="2" t="s">
        <v>59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1005</v>
      </c>
      <c r="DV110" s="2" t="s">
        <v>25</v>
      </c>
      <c r="DW110" s="2" t="s">
        <v>25</v>
      </c>
      <c r="DX110" s="2">
        <v>100</v>
      </c>
      <c r="DY110" s="2"/>
      <c r="DZ110" s="2" t="s">
        <v>3</v>
      </c>
      <c r="EA110" s="2" t="s">
        <v>3</v>
      </c>
      <c r="EB110" s="2" t="s">
        <v>3</v>
      </c>
      <c r="EC110" s="2" t="s">
        <v>3</v>
      </c>
      <c r="ED110" s="2"/>
      <c r="EE110" s="2">
        <v>55471715</v>
      </c>
      <c r="EF110" s="2">
        <v>2</v>
      </c>
      <c r="EG110" s="2" t="s">
        <v>60</v>
      </c>
      <c r="EH110" s="2">
        <v>21</v>
      </c>
      <c r="EI110" s="2" t="s">
        <v>61</v>
      </c>
      <c r="EJ110" s="2">
        <v>1</v>
      </c>
      <c r="EK110" s="2">
        <v>27001</v>
      </c>
      <c r="EL110" s="2" t="s">
        <v>61</v>
      </c>
      <c r="EM110" s="2" t="s">
        <v>63</v>
      </c>
      <c r="EN110" s="2"/>
      <c r="EO110" s="2" t="s">
        <v>139</v>
      </c>
      <c r="EP110" s="2"/>
      <c r="EQ110" s="2">
        <v>0</v>
      </c>
      <c r="ER110" s="2">
        <v>2090.04</v>
      </c>
      <c r="ES110" s="2">
        <v>2.61</v>
      </c>
      <c r="ET110" s="2">
        <v>565.9</v>
      </c>
      <c r="EU110" s="2">
        <v>55.95</v>
      </c>
      <c r="EV110" s="2">
        <v>1521.53</v>
      </c>
      <c r="EW110" s="2">
        <v>171.73</v>
      </c>
      <c r="EX110" s="2">
        <v>5</v>
      </c>
      <c r="EY110" s="2">
        <v>0</v>
      </c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45"/>
        <v>0</v>
      </c>
      <c r="FS110" s="2">
        <v>0</v>
      </c>
      <c r="FT110" s="2"/>
      <c r="FU110" s="2"/>
      <c r="FV110" s="2"/>
      <c r="FW110" s="2"/>
      <c r="FX110" s="2">
        <v>132.3</v>
      </c>
      <c r="FY110" s="2">
        <v>113.89999999999999</v>
      </c>
      <c r="FZ110" s="2"/>
      <c r="GA110" s="2" t="s">
        <v>3</v>
      </c>
      <c r="GB110" s="2"/>
      <c r="GC110" s="2"/>
      <c r="GD110" s="2">
        <v>1</v>
      </c>
      <c r="GE110" s="2"/>
      <c r="GF110" s="2">
        <v>-1890694421</v>
      </c>
      <c r="GG110" s="2">
        <v>2</v>
      </c>
      <c r="GH110" s="2">
        <v>1</v>
      </c>
      <c r="GI110" s="2">
        <v>-2</v>
      </c>
      <c r="GJ110" s="2">
        <v>0</v>
      </c>
      <c r="GK110" s="2">
        <v>0</v>
      </c>
      <c r="GL110" s="2">
        <f t="shared" si="146"/>
        <v>0</v>
      </c>
      <c r="GM110" s="2">
        <f t="shared" si="147"/>
        <v>12026.75</v>
      </c>
      <c r="GN110" s="2">
        <f t="shared" si="148"/>
        <v>12026.75</v>
      </c>
      <c r="GO110" s="2">
        <f t="shared" si="149"/>
        <v>0</v>
      </c>
      <c r="GP110" s="2">
        <f t="shared" si="150"/>
        <v>0</v>
      </c>
      <c r="GQ110" s="2"/>
      <c r="GR110" s="2">
        <v>0</v>
      </c>
      <c r="GS110" s="2">
        <v>3</v>
      </c>
      <c r="GT110" s="2">
        <v>0</v>
      </c>
      <c r="GU110" s="2" t="s">
        <v>3</v>
      </c>
      <c r="GV110" s="2">
        <f t="shared" si="151"/>
        <v>0</v>
      </c>
      <c r="GW110" s="2">
        <v>1</v>
      </c>
      <c r="GX110" s="2">
        <f t="shared" si="152"/>
        <v>0</v>
      </c>
      <c r="GY110" s="2"/>
      <c r="GZ110" s="2"/>
      <c r="HA110" s="2">
        <v>0</v>
      </c>
      <c r="HB110" s="2">
        <v>0</v>
      </c>
      <c r="HC110" s="2">
        <f t="shared" si="153"/>
        <v>0</v>
      </c>
      <c r="HD110" s="2"/>
      <c r="HE110" s="2" t="s">
        <v>3</v>
      </c>
      <c r="HF110" s="2" t="s">
        <v>3</v>
      </c>
      <c r="HG110" s="2"/>
      <c r="HH110" s="2"/>
      <c r="HI110" s="2">
        <f t="shared" si="154"/>
        <v>121.21</v>
      </c>
      <c r="HJ110" s="2">
        <f t="shared" si="155"/>
        <v>3032.33</v>
      </c>
      <c r="HK110" s="2">
        <f t="shared" si="156"/>
        <v>4172.13</v>
      </c>
      <c r="HL110" s="2">
        <f t="shared" si="157"/>
        <v>3591.88</v>
      </c>
      <c r="HM110" s="2" t="s">
        <v>3</v>
      </c>
      <c r="HN110" s="2" t="s">
        <v>65</v>
      </c>
      <c r="HO110" s="2" t="s">
        <v>66</v>
      </c>
      <c r="HP110" s="2" t="s">
        <v>61</v>
      </c>
      <c r="HQ110" s="2" t="s">
        <v>61</v>
      </c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45" ht="12.75">
      <c r="A111">
        <v>17</v>
      </c>
      <c r="B111">
        <v>1</v>
      </c>
      <c r="C111">
        <f>ROW(SmtRes!A138)</f>
        <v>138</v>
      </c>
      <c r="D111">
        <f>ROW(EtalonRes!A136)</f>
        <v>136</v>
      </c>
      <c r="E111" t="s">
        <v>224</v>
      </c>
      <c r="F111" t="s">
        <v>225</v>
      </c>
      <c r="G111" t="s">
        <v>226</v>
      </c>
      <c r="H111" t="s">
        <v>25</v>
      </c>
      <c r="I111">
        <f>ROUND(173.3/100,7)</f>
        <v>1.733</v>
      </c>
      <c r="J111">
        <v>0</v>
      </c>
      <c r="K111">
        <f>ROUND(173.3/100,7)</f>
        <v>1.733</v>
      </c>
      <c r="O111">
        <f t="shared" si="121"/>
        <v>4262.74</v>
      </c>
      <c r="P111">
        <f t="shared" si="122"/>
        <v>4.52</v>
      </c>
      <c r="Q111">
        <f t="shared" si="123"/>
        <v>1225.89</v>
      </c>
      <c r="R111">
        <f t="shared" si="124"/>
        <v>121.21</v>
      </c>
      <c r="S111">
        <f t="shared" si="125"/>
        <v>3032.33</v>
      </c>
      <c r="T111">
        <f t="shared" si="126"/>
        <v>0</v>
      </c>
      <c r="U111">
        <f t="shared" si="127"/>
        <v>342.24930349999994</v>
      </c>
      <c r="V111">
        <f t="shared" si="128"/>
        <v>10.83125</v>
      </c>
      <c r="W111">
        <f t="shared" si="129"/>
        <v>0</v>
      </c>
      <c r="X111">
        <f t="shared" si="130"/>
        <v>4172.13</v>
      </c>
      <c r="Y111">
        <f t="shared" si="131"/>
        <v>3591.88</v>
      </c>
      <c r="AA111">
        <v>55463412</v>
      </c>
      <c r="AB111">
        <f t="shared" si="132"/>
        <v>2459.75</v>
      </c>
      <c r="AC111">
        <f t="shared" si="120"/>
        <v>2.61</v>
      </c>
      <c r="AD111">
        <f>ROUND(((((ET111*ROUND(1.25,7)))-((EU111*ROUND(1.25,7))))+AE111),2)</f>
        <v>707.38</v>
      </c>
      <c r="AE111">
        <f>ROUND(((EU111*ROUND(1.25,7))),2)</f>
        <v>69.94</v>
      </c>
      <c r="AF111">
        <f>ROUND(((EV111*ROUND(1.15,7))),2)</f>
        <v>1749.76</v>
      </c>
      <c r="AG111">
        <f t="shared" si="133"/>
        <v>0</v>
      </c>
      <c r="AH111">
        <f>((EW111*ROUND(1.15,7)))</f>
        <v>197.48949999999996</v>
      </c>
      <c r="AI111">
        <f>((EX111*ROUND(1.25,7)))</f>
        <v>6.25</v>
      </c>
      <c r="AJ111">
        <f t="shared" si="134"/>
        <v>0</v>
      </c>
      <c r="AK111">
        <v>2090.04</v>
      </c>
      <c r="AL111">
        <v>2.61</v>
      </c>
      <c r="AM111">
        <v>565.9</v>
      </c>
      <c r="AN111">
        <v>55.95</v>
      </c>
      <c r="AO111">
        <v>1521.53</v>
      </c>
      <c r="AP111">
        <v>0</v>
      </c>
      <c r="AQ111">
        <v>171.73</v>
      </c>
      <c r="AR111">
        <v>5</v>
      </c>
      <c r="AS111">
        <v>0</v>
      </c>
      <c r="AT111">
        <v>132.3</v>
      </c>
      <c r="AU111">
        <v>113.9</v>
      </c>
      <c r="AV111">
        <v>1</v>
      </c>
      <c r="AW111">
        <v>1</v>
      </c>
      <c r="AZ111">
        <v>1</v>
      </c>
      <c r="BA111">
        <v>36.47</v>
      </c>
      <c r="BB111">
        <v>1</v>
      </c>
      <c r="BC111">
        <v>1</v>
      </c>
      <c r="BH111">
        <v>0</v>
      </c>
      <c r="BI111">
        <v>1</v>
      </c>
      <c r="BJ111" t="s">
        <v>227</v>
      </c>
      <c r="BM111">
        <v>27001</v>
      </c>
      <c r="BN111">
        <v>0</v>
      </c>
      <c r="BO111" t="s">
        <v>32</v>
      </c>
      <c r="BP111">
        <v>1</v>
      </c>
      <c r="BQ111">
        <v>2</v>
      </c>
      <c r="BR111">
        <v>0</v>
      </c>
      <c r="BS111">
        <v>36.47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147</v>
      </c>
      <c r="CA111">
        <v>134</v>
      </c>
      <c r="CE111">
        <v>0</v>
      </c>
      <c r="CF111">
        <v>0</v>
      </c>
      <c r="CG111">
        <v>0</v>
      </c>
      <c r="CM111">
        <v>0</v>
      </c>
      <c r="CN111" t="s">
        <v>480</v>
      </c>
      <c r="CO111">
        <v>0</v>
      </c>
      <c r="CP111">
        <f t="shared" si="135"/>
        <v>4262.74</v>
      </c>
      <c r="CQ111">
        <f t="shared" si="136"/>
        <v>2.61</v>
      </c>
      <c r="CR111">
        <f>((((ET111*ROUND(1.25,7)))*BB111-((EU111*ROUND(1.25,7))))+AE111)</f>
        <v>707.3775</v>
      </c>
      <c r="CS111">
        <f t="shared" si="137"/>
        <v>69.94</v>
      </c>
      <c r="CT111">
        <f t="shared" si="138"/>
        <v>1749.76</v>
      </c>
      <c r="CU111">
        <f t="shared" si="139"/>
        <v>0</v>
      </c>
      <c r="CV111">
        <f t="shared" si="140"/>
        <v>197.48949999999996</v>
      </c>
      <c r="CW111">
        <f t="shared" si="141"/>
        <v>6.25</v>
      </c>
      <c r="CX111">
        <f t="shared" si="142"/>
        <v>0</v>
      </c>
      <c r="CY111">
        <f t="shared" si="143"/>
        <v>4172.13342</v>
      </c>
      <c r="CZ111">
        <f t="shared" si="144"/>
        <v>3591.88206</v>
      </c>
      <c r="DE111" t="s">
        <v>56</v>
      </c>
      <c r="DF111" t="s">
        <v>56</v>
      </c>
      <c r="DG111" t="s">
        <v>57</v>
      </c>
      <c r="DI111" t="s">
        <v>57</v>
      </c>
      <c r="DJ111" t="s">
        <v>56</v>
      </c>
      <c r="DL111" t="s">
        <v>58</v>
      </c>
      <c r="DM111" t="s">
        <v>59</v>
      </c>
      <c r="DN111">
        <v>0</v>
      </c>
      <c r="DO111">
        <v>0</v>
      </c>
      <c r="DP111">
        <v>1</v>
      </c>
      <c r="DQ111">
        <v>1</v>
      </c>
      <c r="DU111">
        <v>1005</v>
      </c>
      <c r="DV111" t="s">
        <v>25</v>
      </c>
      <c r="DW111" t="s">
        <v>25</v>
      </c>
      <c r="DX111">
        <v>100</v>
      </c>
      <c r="EE111">
        <v>55471715</v>
      </c>
      <c r="EF111">
        <v>2</v>
      </c>
      <c r="EG111" t="s">
        <v>60</v>
      </c>
      <c r="EH111">
        <v>21</v>
      </c>
      <c r="EI111" t="s">
        <v>61</v>
      </c>
      <c r="EJ111">
        <v>1</v>
      </c>
      <c r="EK111">
        <v>27001</v>
      </c>
      <c r="EL111" t="s">
        <v>61</v>
      </c>
      <c r="EM111" t="s">
        <v>63</v>
      </c>
      <c r="EO111" t="s">
        <v>139</v>
      </c>
      <c r="EQ111">
        <v>0</v>
      </c>
      <c r="ER111">
        <v>2090.04</v>
      </c>
      <c r="ES111">
        <v>2.61</v>
      </c>
      <c r="ET111">
        <v>565.9</v>
      </c>
      <c r="EU111">
        <v>55.95</v>
      </c>
      <c r="EV111">
        <v>1521.53</v>
      </c>
      <c r="EW111">
        <v>171.73</v>
      </c>
      <c r="EX111">
        <v>5</v>
      </c>
      <c r="EY111">
        <v>0</v>
      </c>
      <c r="FQ111">
        <v>0</v>
      </c>
      <c r="FR111">
        <f t="shared" si="145"/>
        <v>0</v>
      </c>
      <c r="FS111">
        <v>0</v>
      </c>
      <c r="FX111">
        <v>132.3</v>
      </c>
      <c r="FY111">
        <v>113.89999999999999</v>
      </c>
      <c r="GD111">
        <v>1</v>
      </c>
      <c r="GF111">
        <v>-1890694421</v>
      </c>
      <c r="GG111">
        <v>2</v>
      </c>
      <c r="GH111">
        <v>1</v>
      </c>
      <c r="GI111">
        <v>4</v>
      </c>
      <c r="GJ111">
        <v>0</v>
      </c>
      <c r="GK111">
        <v>0</v>
      </c>
      <c r="GL111">
        <f t="shared" si="146"/>
        <v>0</v>
      </c>
      <c r="GM111">
        <f t="shared" si="147"/>
        <v>12026.75</v>
      </c>
      <c r="GN111">
        <f t="shared" si="148"/>
        <v>12026.75</v>
      </c>
      <c r="GO111">
        <f t="shared" si="149"/>
        <v>0</v>
      </c>
      <c r="GP111">
        <f t="shared" si="150"/>
        <v>0</v>
      </c>
      <c r="GR111">
        <v>0</v>
      </c>
      <c r="GS111">
        <v>0</v>
      </c>
      <c r="GT111">
        <v>0</v>
      </c>
      <c r="GV111">
        <f t="shared" si="151"/>
        <v>0</v>
      </c>
      <c r="GW111">
        <v>1</v>
      </c>
      <c r="GX111">
        <f t="shared" si="152"/>
        <v>0</v>
      </c>
      <c r="HA111">
        <v>0</v>
      </c>
      <c r="HB111">
        <v>0</v>
      </c>
      <c r="HC111">
        <f t="shared" si="153"/>
        <v>0</v>
      </c>
      <c r="HI111">
        <f t="shared" si="154"/>
        <v>4420.53</v>
      </c>
      <c r="HJ111">
        <f t="shared" si="155"/>
        <v>110589.08</v>
      </c>
      <c r="HK111">
        <f t="shared" si="156"/>
        <v>152157.71</v>
      </c>
      <c r="HL111">
        <f t="shared" si="157"/>
        <v>130995.95</v>
      </c>
      <c r="HN111" t="s">
        <v>65</v>
      </c>
      <c r="HO111" t="s">
        <v>66</v>
      </c>
      <c r="HP111" t="s">
        <v>61</v>
      </c>
      <c r="HQ111" t="s">
        <v>61</v>
      </c>
      <c r="IK111">
        <v>0</v>
      </c>
    </row>
    <row r="112" spans="1:255" ht="12.75">
      <c r="A112" s="2">
        <v>18</v>
      </c>
      <c r="B112" s="2">
        <v>1</v>
      </c>
      <c r="C112" s="2">
        <v>127</v>
      </c>
      <c r="D112" s="2"/>
      <c r="E112" s="2" t="s">
        <v>228</v>
      </c>
      <c r="F112" s="2" t="s">
        <v>229</v>
      </c>
      <c r="G112" s="2" t="s">
        <v>230</v>
      </c>
      <c r="H112" s="2" t="s">
        <v>165</v>
      </c>
      <c r="I112" s="2">
        <f>I110*J112</f>
        <v>182.315607</v>
      </c>
      <c r="J112" s="2">
        <v>105.20231217541834</v>
      </c>
      <c r="K112" s="2">
        <v>105.202312</v>
      </c>
      <c r="L112" s="2"/>
      <c r="M112" s="2"/>
      <c r="N112" s="2"/>
      <c r="O112" s="2">
        <f t="shared" si="121"/>
        <v>90029.27</v>
      </c>
      <c r="P112" s="2">
        <f t="shared" si="122"/>
        <v>90029.27</v>
      </c>
      <c r="Q112" s="2">
        <f t="shared" si="123"/>
        <v>0</v>
      </c>
      <c r="R112" s="2">
        <f t="shared" si="124"/>
        <v>0</v>
      </c>
      <c r="S112" s="2">
        <f t="shared" si="125"/>
        <v>0</v>
      </c>
      <c r="T112" s="2">
        <f t="shared" si="126"/>
        <v>0</v>
      </c>
      <c r="U112" s="2">
        <f t="shared" si="127"/>
        <v>0</v>
      </c>
      <c r="V112" s="2">
        <f t="shared" si="128"/>
        <v>0</v>
      </c>
      <c r="W112" s="2">
        <f t="shared" si="129"/>
        <v>0</v>
      </c>
      <c r="X112" s="2">
        <f t="shared" si="130"/>
        <v>0</v>
      </c>
      <c r="Y112" s="2">
        <f t="shared" si="131"/>
        <v>0</v>
      </c>
      <c r="Z112" s="2"/>
      <c r="AA112" s="2">
        <v>55463411</v>
      </c>
      <c r="AB112" s="2">
        <f t="shared" si="132"/>
        <v>493.81</v>
      </c>
      <c r="AC112" s="2">
        <f t="shared" si="120"/>
        <v>493.81</v>
      </c>
      <c r="AD112" s="2">
        <f aca="true" t="shared" si="158" ref="AD112:AD117">ROUND((((ET112)-(EU112))+AE112),2)</f>
        <v>0</v>
      </c>
      <c r="AE112" s="2">
        <f aca="true" t="shared" si="159" ref="AE112:AF117">ROUND((EU112),2)</f>
        <v>0</v>
      </c>
      <c r="AF112" s="2">
        <f t="shared" si="159"/>
        <v>0</v>
      </c>
      <c r="AG112" s="2">
        <f t="shared" si="133"/>
        <v>0</v>
      </c>
      <c r="AH112" s="2">
        <f aca="true" t="shared" si="160" ref="AH112:AI117">(EW112)</f>
        <v>0</v>
      </c>
      <c r="AI112" s="2">
        <f t="shared" si="160"/>
        <v>0</v>
      </c>
      <c r="AJ112" s="2">
        <f t="shared" si="134"/>
        <v>0</v>
      </c>
      <c r="AK112" s="2">
        <v>493.81</v>
      </c>
      <c r="AL112" s="2">
        <v>493.81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147</v>
      </c>
      <c r="AU112" s="2">
        <v>134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3</v>
      </c>
      <c r="BE112" s="2" t="s">
        <v>3</v>
      </c>
      <c r="BF112" s="2" t="s">
        <v>3</v>
      </c>
      <c r="BG112" s="2" t="s">
        <v>3</v>
      </c>
      <c r="BH112" s="2">
        <v>3</v>
      </c>
      <c r="BI112" s="2">
        <v>1</v>
      </c>
      <c r="BJ112" s="2" t="s">
        <v>231</v>
      </c>
      <c r="BK112" s="2"/>
      <c r="BL112" s="2"/>
      <c r="BM112" s="2">
        <v>27001</v>
      </c>
      <c r="BN112" s="2">
        <v>0</v>
      </c>
      <c r="BO112" s="2" t="s">
        <v>3</v>
      </c>
      <c r="BP112" s="2">
        <v>0</v>
      </c>
      <c r="BQ112" s="2">
        <v>2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3</v>
      </c>
      <c r="BZ112" s="2">
        <v>147</v>
      </c>
      <c r="CA112" s="2">
        <v>134</v>
      </c>
      <c r="CB112" s="2" t="s">
        <v>3</v>
      </c>
      <c r="CC112" s="2"/>
      <c r="CD112" s="2"/>
      <c r="CE112" s="2">
        <v>0</v>
      </c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3</v>
      </c>
      <c r="CO112" s="2">
        <v>0</v>
      </c>
      <c r="CP112" s="2">
        <f t="shared" si="135"/>
        <v>90029.27</v>
      </c>
      <c r="CQ112" s="2">
        <f t="shared" si="136"/>
        <v>493.81</v>
      </c>
      <c r="CR112" s="2">
        <f aca="true" t="shared" si="161" ref="CR112:CR117">(((ET112)*BB112-(EU112))+AE112)</f>
        <v>0</v>
      </c>
      <c r="CS112" s="2">
        <f t="shared" si="137"/>
        <v>0</v>
      </c>
      <c r="CT112" s="2">
        <f t="shared" si="138"/>
        <v>0</v>
      </c>
      <c r="CU112" s="2">
        <f t="shared" si="139"/>
        <v>0</v>
      </c>
      <c r="CV112" s="2">
        <f t="shared" si="140"/>
        <v>0</v>
      </c>
      <c r="CW112" s="2">
        <f t="shared" si="141"/>
        <v>0</v>
      </c>
      <c r="CX112" s="2">
        <f t="shared" si="142"/>
        <v>0</v>
      </c>
      <c r="CY112" s="2">
        <f t="shared" si="143"/>
        <v>0</v>
      </c>
      <c r="CZ112" s="2">
        <f t="shared" si="144"/>
        <v>0</v>
      </c>
      <c r="DA112" s="2"/>
      <c r="DB112" s="2"/>
      <c r="DC112" s="2" t="s">
        <v>3</v>
      </c>
      <c r="DD112" s="2" t="s">
        <v>3</v>
      </c>
      <c r="DE112" s="2" t="s">
        <v>3</v>
      </c>
      <c r="DF112" s="2" t="s">
        <v>3</v>
      </c>
      <c r="DG112" s="2" t="s">
        <v>3</v>
      </c>
      <c r="DH112" s="2" t="s">
        <v>3</v>
      </c>
      <c r="DI112" s="2" t="s">
        <v>3</v>
      </c>
      <c r="DJ112" s="2" t="s">
        <v>3</v>
      </c>
      <c r="DK112" s="2" t="s">
        <v>3</v>
      </c>
      <c r="DL112" s="2" t="s">
        <v>3</v>
      </c>
      <c r="DM112" s="2" t="s">
        <v>3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1005</v>
      </c>
      <c r="DV112" s="2" t="s">
        <v>165</v>
      </c>
      <c r="DW112" s="2" t="s">
        <v>165</v>
      </c>
      <c r="DX112" s="2">
        <v>1</v>
      </c>
      <c r="DY112" s="2"/>
      <c r="DZ112" s="2" t="s">
        <v>3</v>
      </c>
      <c r="EA112" s="2" t="s">
        <v>3</v>
      </c>
      <c r="EB112" s="2" t="s">
        <v>3</v>
      </c>
      <c r="EC112" s="2" t="s">
        <v>3</v>
      </c>
      <c r="ED112" s="2"/>
      <c r="EE112" s="2">
        <v>55471715</v>
      </c>
      <c r="EF112" s="2">
        <v>2</v>
      </c>
      <c r="EG112" s="2" t="s">
        <v>60</v>
      </c>
      <c r="EH112" s="2">
        <v>21</v>
      </c>
      <c r="EI112" s="2" t="s">
        <v>61</v>
      </c>
      <c r="EJ112" s="2">
        <v>1</v>
      </c>
      <c r="EK112" s="2">
        <v>27001</v>
      </c>
      <c r="EL112" s="2" t="s">
        <v>61</v>
      </c>
      <c r="EM112" s="2" t="s">
        <v>63</v>
      </c>
      <c r="EN112" s="2"/>
      <c r="EO112" s="2" t="s">
        <v>3</v>
      </c>
      <c r="EP112" s="2"/>
      <c r="EQ112" s="2">
        <v>0</v>
      </c>
      <c r="ER112" s="2">
        <v>493.81</v>
      </c>
      <c r="ES112" s="2">
        <v>493.81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45"/>
        <v>0</v>
      </c>
      <c r="FS112" s="2">
        <v>0</v>
      </c>
      <c r="FT112" s="2"/>
      <c r="FU112" s="2"/>
      <c r="FV112" s="2"/>
      <c r="FW112" s="2"/>
      <c r="FX112" s="2">
        <v>147</v>
      </c>
      <c r="FY112" s="2">
        <v>134</v>
      </c>
      <c r="FZ112" s="2"/>
      <c r="GA112" s="2" t="s">
        <v>3</v>
      </c>
      <c r="GB112" s="2"/>
      <c r="GC112" s="2"/>
      <c r="GD112" s="2">
        <v>1</v>
      </c>
      <c r="GE112" s="2"/>
      <c r="GF112" s="2">
        <v>861827329</v>
      </c>
      <c r="GG112" s="2">
        <v>2</v>
      </c>
      <c r="GH112" s="2">
        <v>1</v>
      </c>
      <c r="GI112" s="2">
        <v>-2</v>
      </c>
      <c r="GJ112" s="2">
        <v>0</v>
      </c>
      <c r="GK112" s="2">
        <v>0</v>
      </c>
      <c r="GL112" s="2">
        <f t="shared" si="146"/>
        <v>0</v>
      </c>
      <c r="GM112" s="2">
        <f t="shared" si="147"/>
        <v>90029.27</v>
      </c>
      <c r="GN112" s="2">
        <f t="shared" si="148"/>
        <v>90029.27</v>
      </c>
      <c r="GO112" s="2">
        <f t="shared" si="149"/>
        <v>0</v>
      </c>
      <c r="GP112" s="2">
        <f t="shared" si="150"/>
        <v>0</v>
      </c>
      <c r="GQ112" s="2"/>
      <c r="GR112" s="2">
        <v>0</v>
      </c>
      <c r="GS112" s="2">
        <v>3</v>
      </c>
      <c r="GT112" s="2">
        <v>0</v>
      </c>
      <c r="GU112" s="2" t="s">
        <v>3</v>
      </c>
      <c r="GV112" s="2">
        <f t="shared" si="151"/>
        <v>0</v>
      </c>
      <c r="GW112" s="2">
        <v>1</v>
      </c>
      <c r="GX112" s="2">
        <f t="shared" si="152"/>
        <v>0</v>
      </c>
      <c r="GY112" s="2"/>
      <c r="GZ112" s="2"/>
      <c r="HA112" s="2">
        <v>0</v>
      </c>
      <c r="HB112" s="2">
        <v>0</v>
      </c>
      <c r="HC112" s="2">
        <f t="shared" si="153"/>
        <v>0</v>
      </c>
      <c r="HD112" s="2"/>
      <c r="HE112" s="2" t="s">
        <v>3</v>
      </c>
      <c r="HF112" s="2" t="s">
        <v>3</v>
      </c>
      <c r="HG112" s="2"/>
      <c r="HH112" s="2"/>
      <c r="HI112" s="2">
        <f t="shared" si="154"/>
        <v>0</v>
      </c>
      <c r="HJ112" s="2">
        <f t="shared" si="155"/>
        <v>0</v>
      </c>
      <c r="HK112" s="2">
        <f t="shared" si="156"/>
        <v>0</v>
      </c>
      <c r="HL112" s="2">
        <f t="shared" si="157"/>
        <v>0</v>
      </c>
      <c r="HM112" s="2" t="s">
        <v>3</v>
      </c>
      <c r="HN112" s="2" t="s">
        <v>65</v>
      </c>
      <c r="HO112" s="2" t="s">
        <v>66</v>
      </c>
      <c r="HP112" s="2" t="s">
        <v>61</v>
      </c>
      <c r="HQ112" s="2" t="s">
        <v>61</v>
      </c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45" ht="12.75">
      <c r="A113">
        <v>18</v>
      </c>
      <c r="B113">
        <v>1</v>
      </c>
      <c r="C113">
        <v>137</v>
      </c>
      <c r="E113" t="s">
        <v>228</v>
      </c>
      <c r="F113" t="s">
        <v>229</v>
      </c>
      <c r="G113" t="s">
        <v>230</v>
      </c>
      <c r="H113" t="s">
        <v>165</v>
      </c>
      <c r="I113">
        <f>I111*J113</f>
        <v>182.315607</v>
      </c>
      <c r="J113">
        <v>105.20231217541834</v>
      </c>
      <c r="K113">
        <v>105.202312</v>
      </c>
      <c r="O113">
        <f t="shared" si="121"/>
        <v>90029.27</v>
      </c>
      <c r="P113">
        <f t="shared" si="122"/>
        <v>90029.27</v>
      </c>
      <c r="Q113">
        <f t="shared" si="123"/>
        <v>0</v>
      </c>
      <c r="R113">
        <f t="shared" si="124"/>
        <v>0</v>
      </c>
      <c r="S113">
        <f t="shared" si="125"/>
        <v>0</v>
      </c>
      <c r="T113">
        <f t="shared" si="126"/>
        <v>0</v>
      </c>
      <c r="U113">
        <f t="shared" si="127"/>
        <v>0</v>
      </c>
      <c r="V113">
        <f t="shared" si="128"/>
        <v>0</v>
      </c>
      <c r="W113">
        <f t="shared" si="129"/>
        <v>0</v>
      </c>
      <c r="X113">
        <f t="shared" si="130"/>
        <v>0</v>
      </c>
      <c r="Y113">
        <f t="shared" si="131"/>
        <v>0</v>
      </c>
      <c r="AA113">
        <v>55463412</v>
      </c>
      <c r="AB113">
        <f t="shared" si="132"/>
        <v>493.81</v>
      </c>
      <c r="AC113">
        <f t="shared" si="120"/>
        <v>493.81</v>
      </c>
      <c r="AD113">
        <f t="shared" si="158"/>
        <v>0</v>
      </c>
      <c r="AE113">
        <f t="shared" si="159"/>
        <v>0</v>
      </c>
      <c r="AF113">
        <f t="shared" si="159"/>
        <v>0</v>
      </c>
      <c r="AG113">
        <f t="shared" si="133"/>
        <v>0</v>
      </c>
      <c r="AH113">
        <f t="shared" si="160"/>
        <v>0</v>
      </c>
      <c r="AI113">
        <f t="shared" si="160"/>
        <v>0</v>
      </c>
      <c r="AJ113">
        <f t="shared" si="134"/>
        <v>0</v>
      </c>
      <c r="AK113">
        <v>493.81</v>
      </c>
      <c r="AL113">
        <v>493.81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147</v>
      </c>
      <c r="AU113">
        <v>134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1</v>
      </c>
      <c r="BH113">
        <v>3</v>
      </c>
      <c r="BI113">
        <v>1</v>
      </c>
      <c r="BJ113" t="s">
        <v>231</v>
      </c>
      <c r="BM113">
        <v>27001</v>
      </c>
      <c r="BN113">
        <v>0</v>
      </c>
      <c r="BO113" t="s">
        <v>32</v>
      </c>
      <c r="BP113">
        <v>1</v>
      </c>
      <c r="BQ113">
        <v>2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147</v>
      </c>
      <c r="CA113">
        <v>134</v>
      </c>
      <c r="CE113">
        <v>0</v>
      </c>
      <c r="CF113">
        <v>0</v>
      </c>
      <c r="CG113">
        <v>0</v>
      </c>
      <c r="CM113">
        <v>0</v>
      </c>
      <c r="CO113">
        <v>0</v>
      </c>
      <c r="CP113">
        <f t="shared" si="135"/>
        <v>90029.27</v>
      </c>
      <c r="CQ113">
        <f t="shared" si="136"/>
        <v>493.81</v>
      </c>
      <c r="CR113">
        <f t="shared" si="161"/>
        <v>0</v>
      </c>
      <c r="CS113">
        <f t="shared" si="137"/>
        <v>0</v>
      </c>
      <c r="CT113">
        <f t="shared" si="138"/>
        <v>0</v>
      </c>
      <c r="CU113">
        <f t="shared" si="139"/>
        <v>0</v>
      </c>
      <c r="CV113">
        <f t="shared" si="140"/>
        <v>0</v>
      </c>
      <c r="CW113">
        <f t="shared" si="141"/>
        <v>0</v>
      </c>
      <c r="CX113">
        <f t="shared" si="142"/>
        <v>0</v>
      </c>
      <c r="CY113">
        <f t="shared" si="143"/>
        <v>0</v>
      </c>
      <c r="CZ113">
        <f t="shared" si="144"/>
        <v>0</v>
      </c>
      <c r="DN113">
        <v>0</v>
      </c>
      <c r="DO113">
        <v>0</v>
      </c>
      <c r="DP113">
        <v>1</v>
      </c>
      <c r="DQ113">
        <v>1</v>
      </c>
      <c r="DU113">
        <v>1005</v>
      </c>
      <c r="DV113" t="s">
        <v>165</v>
      </c>
      <c r="DW113" t="s">
        <v>165</v>
      </c>
      <c r="DX113">
        <v>1</v>
      </c>
      <c r="EE113">
        <v>55471715</v>
      </c>
      <c r="EF113">
        <v>2</v>
      </c>
      <c r="EG113" t="s">
        <v>60</v>
      </c>
      <c r="EH113">
        <v>21</v>
      </c>
      <c r="EI113" t="s">
        <v>61</v>
      </c>
      <c r="EJ113">
        <v>1</v>
      </c>
      <c r="EK113">
        <v>27001</v>
      </c>
      <c r="EL113" t="s">
        <v>61</v>
      </c>
      <c r="EM113" t="s">
        <v>63</v>
      </c>
      <c r="EQ113">
        <v>0</v>
      </c>
      <c r="ER113">
        <v>493.81</v>
      </c>
      <c r="ES113">
        <v>493.81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45"/>
        <v>0</v>
      </c>
      <c r="FS113">
        <v>0</v>
      </c>
      <c r="FX113">
        <v>147</v>
      </c>
      <c r="FY113">
        <v>134</v>
      </c>
      <c r="GD113">
        <v>1</v>
      </c>
      <c r="GF113">
        <v>861827329</v>
      </c>
      <c r="GG113">
        <v>2</v>
      </c>
      <c r="GH113">
        <v>1</v>
      </c>
      <c r="GI113">
        <v>4</v>
      </c>
      <c r="GJ113">
        <v>0</v>
      </c>
      <c r="GK113">
        <v>0</v>
      </c>
      <c r="GL113">
        <f t="shared" si="146"/>
        <v>0</v>
      </c>
      <c r="GM113">
        <f t="shared" si="147"/>
        <v>90029.27</v>
      </c>
      <c r="GN113">
        <f t="shared" si="148"/>
        <v>90029.27</v>
      </c>
      <c r="GO113">
        <f t="shared" si="149"/>
        <v>0</v>
      </c>
      <c r="GP113">
        <f t="shared" si="150"/>
        <v>0</v>
      </c>
      <c r="GR113">
        <v>0</v>
      </c>
      <c r="GS113">
        <v>3</v>
      </c>
      <c r="GT113">
        <v>0</v>
      </c>
      <c r="GV113">
        <f t="shared" si="151"/>
        <v>0</v>
      </c>
      <c r="GW113">
        <v>1</v>
      </c>
      <c r="GX113">
        <f t="shared" si="152"/>
        <v>0</v>
      </c>
      <c r="HA113">
        <v>0</v>
      </c>
      <c r="HB113">
        <v>0</v>
      </c>
      <c r="HC113">
        <f t="shared" si="153"/>
        <v>0</v>
      </c>
      <c r="HI113">
        <f t="shared" si="154"/>
        <v>0</v>
      </c>
      <c r="HJ113">
        <f t="shared" si="155"/>
        <v>0</v>
      </c>
      <c r="HK113">
        <f t="shared" si="156"/>
        <v>0</v>
      </c>
      <c r="HL113">
        <f t="shared" si="157"/>
        <v>0</v>
      </c>
      <c r="HN113" t="s">
        <v>65</v>
      </c>
      <c r="HO113" t="s">
        <v>66</v>
      </c>
      <c r="HP113" t="s">
        <v>61</v>
      </c>
      <c r="HQ113" t="s">
        <v>61</v>
      </c>
      <c r="IK113">
        <v>0</v>
      </c>
    </row>
    <row r="114" spans="1:255" ht="12.75">
      <c r="A114" s="2">
        <v>18</v>
      </c>
      <c r="B114" s="2">
        <v>1</v>
      </c>
      <c r="C114" s="2">
        <v>128</v>
      </c>
      <c r="D114" s="2"/>
      <c r="E114" s="2" t="s">
        <v>232</v>
      </c>
      <c r="F114" s="2" t="s">
        <v>233</v>
      </c>
      <c r="G114" s="2" t="s">
        <v>234</v>
      </c>
      <c r="H114" s="2" t="s">
        <v>36</v>
      </c>
      <c r="I114" s="2">
        <f>I110*J114</f>
        <v>1.69316</v>
      </c>
      <c r="J114" s="2">
        <v>0.9770109636468551</v>
      </c>
      <c r="K114" s="2">
        <v>0.977011</v>
      </c>
      <c r="L114" s="2"/>
      <c r="M114" s="2"/>
      <c r="N114" s="2"/>
      <c r="O114" s="2">
        <f t="shared" si="121"/>
        <v>10799.01</v>
      </c>
      <c r="P114" s="2">
        <f t="shared" si="122"/>
        <v>10799.01</v>
      </c>
      <c r="Q114" s="2">
        <f t="shared" si="123"/>
        <v>0</v>
      </c>
      <c r="R114" s="2">
        <f t="shared" si="124"/>
        <v>0</v>
      </c>
      <c r="S114" s="2">
        <f t="shared" si="125"/>
        <v>0</v>
      </c>
      <c r="T114" s="2">
        <f t="shared" si="126"/>
        <v>0</v>
      </c>
      <c r="U114" s="2">
        <f t="shared" si="127"/>
        <v>0</v>
      </c>
      <c r="V114" s="2">
        <f t="shared" si="128"/>
        <v>0</v>
      </c>
      <c r="W114" s="2">
        <f t="shared" si="129"/>
        <v>0</v>
      </c>
      <c r="X114" s="2">
        <f t="shared" si="130"/>
        <v>0</v>
      </c>
      <c r="Y114" s="2">
        <f t="shared" si="131"/>
        <v>0</v>
      </c>
      <c r="Z114" s="2"/>
      <c r="AA114" s="2">
        <v>55463411</v>
      </c>
      <c r="AB114" s="2">
        <f t="shared" si="132"/>
        <v>6378.02</v>
      </c>
      <c r="AC114" s="2">
        <f t="shared" si="120"/>
        <v>6378.02</v>
      </c>
      <c r="AD114" s="2">
        <f t="shared" si="158"/>
        <v>0</v>
      </c>
      <c r="AE114" s="2">
        <f t="shared" si="159"/>
        <v>0</v>
      </c>
      <c r="AF114" s="2">
        <f t="shared" si="159"/>
        <v>0</v>
      </c>
      <c r="AG114" s="2">
        <f t="shared" si="133"/>
        <v>0</v>
      </c>
      <c r="AH114" s="2">
        <f t="shared" si="160"/>
        <v>0</v>
      </c>
      <c r="AI114" s="2">
        <f t="shared" si="160"/>
        <v>0</v>
      </c>
      <c r="AJ114" s="2">
        <f t="shared" si="134"/>
        <v>0</v>
      </c>
      <c r="AK114" s="2">
        <v>6378.02</v>
      </c>
      <c r="AL114" s="2">
        <v>6378.02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147</v>
      </c>
      <c r="AU114" s="2">
        <v>134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3</v>
      </c>
      <c r="BE114" s="2" t="s">
        <v>3</v>
      </c>
      <c r="BF114" s="2" t="s">
        <v>3</v>
      </c>
      <c r="BG114" s="2" t="s">
        <v>3</v>
      </c>
      <c r="BH114" s="2">
        <v>3</v>
      </c>
      <c r="BI114" s="2">
        <v>1</v>
      </c>
      <c r="BJ114" s="2" t="s">
        <v>235</v>
      </c>
      <c r="BK114" s="2"/>
      <c r="BL114" s="2"/>
      <c r="BM114" s="2">
        <v>27001</v>
      </c>
      <c r="BN114" s="2">
        <v>0</v>
      </c>
      <c r="BO114" s="2" t="s">
        <v>3</v>
      </c>
      <c r="BP114" s="2">
        <v>0</v>
      </c>
      <c r="BQ114" s="2">
        <v>2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3</v>
      </c>
      <c r="BZ114" s="2">
        <v>147</v>
      </c>
      <c r="CA114" s="2">
        <v>134</v>
      </c>
      <c r="CB114" s="2" t="s">
        <v>3</v>
      </c>
      <c r="CC114" s="2"/>
      <c r="CD114" s="2"/>
      <c r="CE114" s="2">
        <v>0</v>
      </c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3</v>
      </c>
      <c r="CO114" s="2">
        <v>0</v>
      </c>
      <c r="CP114" s="2">
        <f t="shared" si="135"/>
        <v>10799.01</v>
      </c>
      <c r="CQ114" s="2">
        <f t="shared" si="136"/>
        <v>6378.02</v>
      </c>
      <c r="CR114" s="2">
        <f t="shared" si="161"/>
        <v>0</v>
      </c>
      <c r="CS114" s="2">
        <f t="shared" si="137"/>
        <v>0</v>
      </c>
      <c r="CT114" s="2">
        <f t="shared" si="138"/>
        <v>0</v>
      </c>
      <c r="CU114" s="2">
        <f t="shared" si="139"/>
        <v>0</v>
      </c>
      <c r="CV114" s="2">
        <f t="shared" si="140"/>
        <v>0</v>
      </c>
      <c r="CW114" s="2">
        <f t="shared" si="141"/>
        <v>0</v>
      </c>
      <c r="CX114" s="2">
        <f t="shared" si="142"/>
        <v>0</v>
      </c>
      <c r="CY114" s="2">
        <f t="shared" si="143"/>
        <v>0</v>
      </c>
      <c r="CZ114" s="2">
        <f t="shared" si="144"/>
        <v>0</v>
      </c>
      <c r="DA114" s="2"/>
      <c r="DB114" s="2"/>
      <c r="DC114" s="2" t="s">
        <v>3</v>
      </c>
      <c r="DD114" s="2" t="s">
        <v>3</v>
      </c>
      <c r="DE114" s="2" t="s">
        <v>3</v>
      </c>
      <c r="DF114" s="2" t="s">
        <v>3</v>
      </c>
      <c r="DG114" s="2" t="s">
        <v>3</v>
      </c>
      <c r="DH114" s="2" t="s">
        <v>3</v>
      </c>
      <c r="DI114" s="2" t="s">
        <v>3</v>
      </c>
      <c r="DJ114" s="2" t="s">
        <v>3</v>
      </c>
      <c r="DK114" s="2" t="s">
        <v>3</v>
      </c>
      <c r="DL114" s="2" t="s">
        <v>3</v>
      </c>
      <c r="DM114" s="2" t="s">
        <v>3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1009</v>
      </c>
      <c r="DV114" s="2" t="s">
        <v>36</v>
      </c>
      <c r="DW114" s="2" t="s">
        <v>36</v>
      </c>
      <c r="DX114" s="2">
        <v>1000</v>
      </c>
      <c r="DY114" s="2"/>
      <c r="DZ114" s="2" t="s">
        <v>3</v>
      </c>
      <c r="EA114" s="2" t="s">
        <v>3</v>
      </c>
      <c r="EB114" s="2" t="s">
        <v>3</v>
      </c>
      <c r="EC114" s="2" t="s">
        <v>3</v>
      </c>
      <c r="ED114" s="2"/>
      <c r="EE114" s="2">
        <v>55471715</v>
      </c>
      <c r="EF114" s="2">
        <v>2</v>
      </c>
      <c r="EG114" s="2" t="s">
        <v>60</v>
      </c>
      <c r="EH114" s="2">
        <v>21</v>
      </c>
      <c r="EI114" s="2" t="s">
        <v>61</v>
      </c>
      <c r="EJ114" s="2">
        <v>1</v>
      </c>
      <c r="EK114" s="2">
        <v>27001</v>
      </c>
      <c r="EL114" s="2" t="s">
        <v>61</v>
      </c>
      <c r="EM114" s="2" t="s">
        <v>63</v>
      </c>
      <c r="EN114" s="2"/>
      <c r="EO114" s="2" t="s">
        <v>3</v>
      </c>
      <c r="EP114" s="2"/>
      <c r="EQ114" s="2">
        <v>0</v>
      </c>
      <c r="ER114" s="2">
        <v>6378.02</v>
      </c>
      <c r="ES114" s="2">
        <v>6378.02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45"/>
        <v>0</v>
      </c>
      <c r="FS114" s="2">
        <v>0</v>
      </c>
      <c r="FT114" s="2"/>
      <c r="FU114" s="2"/>
      <c r="FV114" s="2"/>
      <c r="FW114" s="2"/>
      <c r="FX114" s="2">
        <v>147</v>
      </c>
      <c r="FY114" s="2">
        <v>134</v>
      </c>
      <c r="FZ114" s="2"/>
      <c r="GA114" s="2" t="s">
        <v>3</v>
      </c>
      <c r="GB114" s="2"/>
      <c r="GC114" s="2"/>
      <c r="GD114" s="2">
        <v>1</v>
      </c>
      <c r="GE114" s="2"/>
      <c r="GF114" s="2">
        <v>1916701908</v>
      </c>
      <c r="GG114" s="2">
        <v>2</v>
      </c>
      <c r="GH114" s="2">
        <v>1</v>
      </c>
      <c r="GI114" s="2">
        <v>-2</v>
      </c>
      <c r="GJ114" s="2">
        <v>0</v>
      </c>
      <c r="GK114" s="2">
        <v>0</v>
      </c>
      <c r="GL114" s="2">
        <f t="shared" si="146"/>
        <v>0</v>
      </c>
      <c r="GM114" s="2">
        <f t="shared" si="147"/>
        <v>10799.01</v>
      </c>
      <c r="GN114" s="2">
        <f t="shared" si="148"/>
        <v>10799.01</v>
      </c>
      <c r="GO114" s="2">
        <f t="shared" si="149"/>
        <v>0</v>
      </c>
      <c r="GP114" s="2">
        <f t="shared" si="150"/>
        <v>0</v>
      </c>
      <c r="GQ114" s="2"/>
      <c r="GR114" s="2">
        <v>0</v>
      </c>
      <c r="GS114" s="2">
        <v>3</v>
      </c>
      <c r="GT114" s="2">
        <v>0</v>
      </c>
      <c r="GU114" s="2" t="s">
        <v>3</v>
      </c>
      <c r="GV114" s="2">
        <f t="shared" si="151"/>
        <v>0</v>
      </c>
      <c r="GW114" s="2">
        <v>1</v>
      </c>
      <c r="GX114" s="2">
        <f t="shared" si="152"/>
        <v>0</v>
      </c>
      <c r="GY114" s="2"/>
      <c r="GZ114" s="2"/>
      <c r="HA114" s="2">
        <v>0</v>
      </c>
      <c r="HB114" s="2">
        <v>0</v>
      </c>
      <c r="HC114" s="2">
        <f t="shared" si="153"/>
        <v>0</v>
      </c>
      <c r="HD114" s="2"/>
      <c r="HE114" s="2" t="s">
        <v>3</v>
      </c>
      <c r="HF114" s="2" t="s">
        <v>3</v>
      </c>
      <c r="HG114" s="2"/>
      <c r="HH114" s="2"/>
      <c r="HI114" s="2">
        <f t="shared" si="154"/>
        <v>0</v>
      </c>
      <c r="HJ114" s="2">
        <f t="shared" si="155"/>
        <v>0</v>
      </c>
      <c r="HK114" s="2">
        <f t="shared" si="156"/>
        <v>0</v>
      </c>
      <c r="HL114" s="2">
        <f t="shared" si="157"/>
        <v>0</v>
      </c>
      <c r="HM114" s="2" t="s">
        <v>3</v>
      </c>
      <c r="HN114" s="2" t="s">
        <v>65</v>
      </c>
      <c r="HO114" s="2" t="s">
        <v>66</v>
      </c>
      <c r="HP114" s="2" t="s">
        <v>61</v>
      </c>
      <c r="HQ114" s="2" t="s">
        <v>61</v>
      </c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45" ht="12.75">
      <c r="A115">
        <v>18</v>
      </c>
      <c r="B115">
        <v>1</v>
      </c>
      <c r="C115">
        <v>138</v>
      </c>
      <c r="E115" t="s">
        <v>232</v>
      </c>
      <c r="F115" t="s">
        <v>233</v>
      </c>
      <c r="G115" t="s">
        <v>234</v>
      </c>
      <c r="H115" t="s">
        <v>36</v>
      </c>
      <c r="I115">
        <f>I111*J115</f>
        <v>1.69316</v>
      </c>
      <c r="J115">
        <v>0.9770109636468551</v>
      </c>
      <c r="K115">
        <v>0.977011</v>
      </c>
      <c r="O115">
        <f t="shared" si="121"/>
        <v>10799.01</v>
      </c>
      <c r="P115">
        <f t="shared" si="122"/>
        <v>10799.01</v>
      </c>
      <c r="Q115">
        <f t="shared" si="123"/>
        <v>0</v>
      </c>
      <c r="R115">
        <f t="shared" si="124"/>
        <v>0</v>
      </c>
      <c r="S115">
        <f t="shared" si="125"/>
        <v>0</v>
      </c>
      <c r="T115">
        <f t="shared" si="126"/>
        <v>0</v>
      </c>
      <c r="U115">
        <f t="shared" si="127"/>
        <v>0</v>
      </c>
      <c r="V115">
        <f t="shared" si="128"/>
        <v>0</v>
      </c>
      <c r="W115">
        <f t="shared" si="129"/>
        <v>0</v>
      </c>
      <c r="X115">
        <f t="shared" si="130"/>
        <v>0</v>
      </c>
      <c r="Y115">
        <f t="shared" si="131"/>
        <v>0</v>
      </c>
      <c r="AA115">
        <v>55463412</v>
      </c>
      <c r="AB115">
        <f t="shared" si="132"/>
        <v>6378.02</v>
      </c>
      <c r="AC115">
        <f t="shared" si="120"/>
        <v>6378.02</v>
      </c>
      <c r="AD115">
        <f t="shared" si="158"/>
        <v>0</v>
      </c>
      <c r="AE115">
        <f t="shared" si="159"/>
        <v>0</v>
      </c>
      <c r="AF115">
        <f t="shared" si="159"/>
        <v>0</v>
      </c>
      <c r="AG115">
        <f t="shared" si="133"/>
        <v>0</v>
      </c>
      <c r="AH115">
        <f t="shared" si="160"/>
        <v>0</v>
      </c>
      <c r="AI115">
        <f t="shared" si="160"/>
        <v>0</v>
      </c>
      <c r="AJ115">
        <f t="shared" si="134"/>
        <v>0</v>
      </c>
      <c r="AK115">
        <v>6378.02</v>
      </c>
      <c r="AL115">
        <v>6378.02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147</v>
      </c>
      <c r="AU115">
        <v>134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H115">
        <v>3</v>
      </c>
      <c r="BI115">
        <v>1</v>
      </c>
      <c r="BJ115" t="s">
        <v>235</v>
      </c>
      <c r="BM115">
        <v>27001</v>
      </c>
      <c r="BN115">
        <v>0</v>
      </c>
      <c r="BO115" t="s">
        <v>32</v>
      </c>
      <c r="BP115">
        <v>1</v>
      </c>
      <c r="BQ115">
        <v>2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147</v>
      </c>
      <c r="CA115">
        <v>134</v>
      </c>
      <c r="CE115">
        <v>0</v>
      </c>
      <c r="CF115">
        <v>0</v>
      </c>
      <c r="CG115">
        <v>0</v>
      </c>
      <c r="CM115">
        <v>0</v>
      </c>
      <c r="CO115">
        <v>0</v>
      </c>
      <c r="CP115">
        <f t="shared" si="135"/>
        <v>10799.01</v>
      </c>
      <c r="CQ115">
        <f t="shared" si="136"/>
        <v>6378.02</v>
      </c>
      <c r="CR115">
        <f t="shared" si="161"/>
        <v>0</v>
      </c>
      <c r="CS115">
        <f t="shared" si="137"/>
        <v>0</v>
      </c>
      <c r="CT115">
        <f t="shared" si="138"/>
        <v>0</v>
      </c>
      <c r="CU115">
        <f t="shared" si="139"/>
        <v>0</v>
      </c>
      <c r="CV115">
        <f t="shared" si="140"/>
        <v>0</v>
      </c>
      <c r="CW115">
        <f t="shared" si="141"/>
        <v>0</v>
      </c>
      <c r="CX115">
        <f t="shared" si="142"/>
        <v>0</v>
      </c>
      <c r="CY115">
        <f t="shared" si="143"/>
        <v>0</v>
      </c>
      <c r="CZ115">
        <f t="shared" si="144"/>
        <v>0</v>
      </c>
      <c r="DN115">
        <v>0</v>
      </c>
      <c r="DO115">
        <v>0</v>
      </c>
      <c r="DP115">
        <v>1</v>
      </c>
      <c r="DQ115">
        <v>1</v>
      </c>
      <c r="DU115">
        <v>1009</v>
      </c>
      <c r="DV115" t="s">
        <v>36</v>
      </c>
      <c r="DW115" t="s">
        <v>36</v>
      </c>
      <c r="DX115">
        <v>1000</v>
      </c>
      <c r="EE115">
        <v>55471715</v>
      </c>
      <c r="EF115">
        <v>2</v>
      </c>
      <c r="EG115" t="s">
        <v>60</v>
      </c>
      <c r="EH115">
        <v>21</v>
      </c>
      <c r="EI115" t="s">
        <v>61</v>
      </c>
      <c r="EJ115">
        <v>1</v>
      </c>
      <c r="EK115">
        <v>27001</v>
      </c>
      <c r="EL115" t="s">
        <v>61</v>
      </c>
      <c r="EM115" t="s">
        <v>63</v>
      </c>
      <c r="EQ115">
        <v>0</v>
      </c>
      <c r="ER115">
        <v>6378.02</v>
      </c>
      <c r="ES115">
        <v>6378.02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45"/>
        <v>0</v>
      </c>
      <c r="FS115">
        <v>0</v>
      </c>
      <c r="FX115">
        <v>147</v>
      </c>
      <c r="FY115">
        <v>134</v>
      </c>
      <c r="GD115">
        <v>1</v>
      </c>
      <c r="GF115">
        <v>1916701908</v>
      </c>
      <c r="GG115">
        <v>2</v>
      </c>
      <c r="GH115">
        <v>1</v>
      </c>
      <c r="GI115">
        <v>4</v>
      </c>
      <c r="GJ115">
        <v>0</v>
      </c>
      <c r="GK115">
        <v>0</v>
      </c>
      <c r="GL115">
        <f t="shared" si="146"/>
        <v>0</v>
      </c>
      <c r="GM115">
        <f t="shared" si="147"/>
        <v>10799.01</v>
      </c>
      <c r="GN115">
        <f t="shared" si="148"/>
        <v>10799.01</v>
      </c>
      <c r="GO115">
        <f t="shared" si="149"/>
        <v>0</v>
      </c>
      <c r="GP115">
        <f t="shared" si="150"/>
        <v>0</v>
      </c>
      <c r="GR115">
        <v>0</v>
      </c>
      <c r="GS115">
        <v>0</v>
      </c>
      <c r="GT115">
        <v>0</v>
      </c>
      <c r="GV115">
        <f t="shared" si="151"/>
        <v>0</v>
      </c>
      <c r="GW115">
        <v>1</v>
      </c>
      <c r="GX115">
        <f t="shared" si="152"/>
        <v>0</v>
      </c>
      <c r="HA115">
        <v>0</v>
      </c>
      <c r="HB115">
        <v>0</v>
      </c>
      <c r="HC115">
        <f t="shared" si="153"/>
        <v>0</v>
      </c>
      <c r="HI115">
        <f t="shared" si="154"/>
        <v>0</v>
      </c>
      <c r="HJ115">
        <f t="shared" si="155"/>
        <v>0</v>
      </c>
      <c r="HK115">
        <f t="shared" si="156"/>
        <v>0</v>
      </c>
      <c r="HL115">
        <f t="shared" si="157"/>
        <v>0</v>
      </c>
      <c r="HN115" t="s">
        <v>65</v>
      </c>
      <c r="HO115" t="s">
        <v>66</v>
      </c>
      <c r="HP115" t="s">
        <v>61</v>
      </c>
      <c r="HQ115" t="s">
        <v>61</v>
      </c>
      <c r="IK115">
        <v>0</v>
      </c>
    </row>
    <row r="116" spans="1:255" ht="12.75">
      <c r="A116" s="2">
        <v>18</v>
      </c>
      <c r="B116" s="2">
        <v>1</v>
      </c>
      <c r="C116" s="2">
        <v>126</v>
      </c>
      <c r="D116" s="2"/>
      <c r="E116" s="2" t="s">
        <v>236</v>
      </c>
      <c r="F116" s="2" t="s">
        <v>237</v>
      </c>
      <c r="G116" s="2" t="s">
        <v>238</v>
      </c>
      <c r="H116" s="2" t="s">
        <v>36</v>
      </c>
      <c r="I116" s="2">
        <f>I110*J116</f>
        <v>0.15627</v>
      </c>
      <c r="J116" s="2">
        <v>0.09017311021350259</v>
      </c>
      <c r="K116" s="2">
        <v>0.090173</v>
      </c>
      <c r="L116" s="2"/>
      <c r="M116" s="2"/>
      <c r="N116" s="2"/>
      <c r="O116" s="2">
        <f t="shared" si="121"/>
        <v>1017.79</v>
      </c>
      <c r="P116" s="2">
        <f t="shared" si="122"/>
        <v>1017.79</v>
      </c>
      <c r="Q116" s="2">
        <f t="shared" si="123"/>
        <v>0</v>
      </c>
      <c r="R116" s="2">
        <f t="shared" si="124"/>
        <v>0</v>
      </c>
      <c r="S116" s="2">
        <f t="shared" si="125"/>
        <v>0</v>
      </c>
      <c r="T116" s="2">
        <f t="shared" si="126"/>
        <v>0</v>
      </c>
      <c r="U116" s="2">
        <f t="shared" si="127"/>
        <v>0</v>
      </c>
      <c r="V116" s="2">
        <f t="shared" si="128"/>
        <v>0</v>
      </c>
      <c r="W116" s="2">
        <f t="shared" si="129"/>
        <v>0</v>
      </c>
      <c r="X116" s="2">
        <f t="shared" si="130"/>
        <v>0</v>
      </c>
      <c r="Y116" s="2">
        <f t="shared" si="131"/>
        <v>0</v>
      </c>
      <c r="Z116" s="2"/>
      <c r="AA116" s="2">
        <v>55463411</v>
      </c>
      <c r="AB116" s="2">
        <f t="shared" si="132"/>
        <v>6513</v>
      </c>
      <c r="AC116" s="2">
        <f t="shared" si="120"/>
        <v>6513</v>
      </c>
      <c r="AD116" s="2">
        <f t="shared" si="158"/>
        <v>0</v>
      </c>
      <c r="AE116" s="2">
        <f t="shared" si="159"/>
        <v>0</v>
      </c>
      <c r="AF116" s="2">
        <f t="shared" si="159"/>
        <v>0</v>
      </c>
      <c r="AG116" s="2">
        <f t="shared" si="133"/>
        <v>0</v>
      </c>
      <c r="AH116" s="2">
        <f t="shared" si="160"/>
        <v>0</v>
      </c>
      <c r="AI116" s="2">
        <f t="shared" si="160"/>
        <v>0</v>
      </c>
      <c r="AJ116" s="2">
        <f t="shared" si="134"/>
        <v>0</v>
      </c>
      <c r="AK116" s="2">
        <v>6513</v>
      </c>
      <c r="AL116" s="2">
        <v>6513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147</v>
      </c>
      <c r="AU116" s="2">
        <v>134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3</v>
      </c>
      <c r="BE116" s="2" t="s">
        <v>3</v>
      </c>
      <c r="BF116" s="2" t="s">
        <v>3</v>
      </c>
      <c r="BG116" s="2" t="s">
        <v>3</v>
      </c>
      <c r="BH116" s="2">
        <v>3</v>
      </c>
      <c r="BI116" s="2">
        <v>1</v>
      </c>
      <c r="BJ116" s="2" t="s">
        <v>239</v>
      </c>
      <c r="BK116" s="2"/>
      <c r="BL116" s="2"/>
      <c r="BM116" s="2">
        <v>27001</v>
      </c>
      <c r="BN116" s="2">
        <v>0</v>
      </c>
      <c r="BO116" s="2" t="s">
        <v>3</v>
      </c>
      <c r="BP116" s="2">
        <v>0</v>
      </c>
      <c r="BQ116" s="2">
        <v>2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3</v>
      </c>
      <c r="BZ116" s="2">
        <v>147</v>
      </c>
      <c r="CA116" s="2">
        <v>134</v>
      </c>
      <c r="CB116" s="2" t="s">
        <v>3</v>
      </c>
      <c r="CC116" s="2"/>
      <c r="CD116" s="2"/>
      <c r="CE116" s="2">
        <v>0</v>
      </c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3</v>
      </c>
      <c r="CO116" s="2">
        <v>0</v>
      </c>
      <c r="CP116" s="2">
        <f t="shared" si="135"/>
        <v>1017.79</v>
      </c>
      <c r="CQ116" s="2">
        <f t="shared" si="136"/>
        <v>6513</v>
      </c>
      <c r="CR116" s="2">
        <f t="shared" si="161"/>
        <v>0</v>
      </c>
      <c r="CS116" s="2">
        <f t="shared" si="137"/>
        <v>0</v>
      </c>
      <c r="CT116" s="2">
        <f t="shared" si="138"/>
        <v>0</v>
      </c>
      <c r="CU116" s="2">
        <f t="shared" si="139"/>
        <v>0</v>
      </c>
      <c r="CV116" s="2">
        <f t="shared" si="140"/>
        <v>0</v>
      </c>
      <c r="CW116" s="2">
        <f t="shared" si="141"/>
        <v>0</v>
      </c>
      <c r="CX116" s="2">
        <f t="shared" si="142"/>
        <v>0</v>
      </c>
      <c r="CY116" s="2">
        <f t="shared" si="143"/>
        <v>0</v>
      </c>
      <c r="CZ116" s="2">
        <f t="shared" si="144"/>
        <v>0</v>
      </c>
      <c r="DA116" s="2"/>
      <c r="DB116" s="2"/>
      <c r="DC116" s="2" t="s">
        <v>3</v>
      </c>
      <c r="DD116" s="2" t="s">
        <v>3</v>
      </c>
      <c r="DE116" s="2" t="s">
        <v>3</v>
      </c>
      <c r="DF116" s="2" t="s">
        <v>3</v>
      </c>
      <c r="DG116" s="2" t="s">
        <v>3</v>
      </c>
      <c r="DH116" s="2" t="s">
        <v>3</v>
      </c>
      <c r="DI116" s="2" t="s">
        <v>3</v>
      </c>
      <c r="DJ116" s="2" t="s">
        <v>3</v>
      </c>
      <c r="DK116" s="2" t="s">
        <v>3</v>
      </c>
      <c r="DL116" s="2" t="s">
        <v>3</v>
      </c>
      <c r="DM116" s="2" t="s">
        <v>3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1009</v>
      </c>
      <c r="DV116" s="2" t="s">
        <v>36</v>
      </c>
      <c r="DW116" s="2" t="s">
        <v>36</v>
      </c>
      <c r="DX116" s="2">
        <v>1000</v>
      </c>
      <c r="DY116" s="2"/>
      <c r="DZ116" s="2" t="s">
        <v>3</v>
      </c>
      <c r="EA116" s="2" t="s">
        <v>3</v>
      </c>
      <c r="EB116" s="2" t="s">
        <v>3</v>
      </c>
      <c r="EC116" s="2" t="s">
        <v>3</v>
      </c>
      <c r="ED116" s="2"/>
      <c r="EE116" s="2">
        <v>55471715</v>
      </c>
      <c r="EF116" s="2">
        <v>2</v>
      </c>
      <c r="EG116" s="2" t="s">
        <v>60</v>
      </c>
      <c r="EH116" s="2">
        <v>21</v>
      </c>
      <c r="EI116" s="2" t="s">
        <v>61</v>
      </c>
      <c r="EJ116" s="2">
        <v>1</v>
      </c>
      <c r="EK116" s="2">
        <v>27001</v>
      </c>
      <c r="EL116" s="2" t="s">
        <v>61</v>
      </c>
      <c r="EM116" s="2" t="s">
        <v>63</v>
      </c>
      <c r="EN116" s="2"/>
      <c r="EO116" s="2" t="s">
        <v>3</v>
      </c>
      <c r="EP116" s="2"/>
      <c r="EQ116" s="2">
        <v>0</v>
      </c>
      <c r="ER116" s="2">
        <v>6513</v>
      </c>
      <c r="ES116" s="2">
        <v>6513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45"/>
        <v>0</v>
      </c>
      <c r="FS116" s="2">
        <v>0</v>
      </c>
      <c r="FT116" s="2"/>
      <c r="FU116" s="2"/>
      <c r="FV116" s="2"/>
      <c r="FW116" s="2"/>
      <c r="FX116" s="2">
        <v>147</v>
      </c>
      <c r="FY116" s="2">
        <v>134</v>
      </c>
      <c r="FZ116" s="2"/>
      <c r="GA116" s="2" t="s">
        <v>3</v>
      </c>
      <c r="GB116" s="2"/>
      <c r="GC116" s="2"/>
      <c r="GD116" s="2">
        <v>1</v>
      </c>
      <c r="GE116" s="2"/>
      <c r="GF116" s="2">
        <v>-1724628855</v>
      </c>
      <c r="GG116" s="2">
        <v>2</v>
      </c>
      <c r="GH116" s="2">
        <v>1</v>
      </c>
      <c r="GI116" s="2">
        <v>-2</v>
      </c>
      <c r="GJ116" s="2">
        <v>0</v>
      </c>
      <c r="GK116" s="2">
        <v>0</v>
      </c>
      <c r="GL116" s="2">
        <f t="shared" si="146"/>
        <v>0</v>
      </c>
      <c r="GM116" s="2">
        <f t="shared" si="147"/>
        <v>1017.79</v>
      </c>
      <c r="GN116" s="2">
        <f t="shared" si="148"/>
        <v>1017.79</v>
      </c>
      <c r="GO116" s="2">
        <f t="shared" si="149"/>
        <v>0</v>
      </c>
      <c r="GP116" s="2">
        <f t="shared" si="150"/>
        <v>0</v>
      </c>
      <c r="GQ116" s="2"/>
      <c r="GR116" s="2">
        <v>0</v>
      </c>
      <c r="GS116" s="2">
        <v>3</v>
      </c>
      <c r="GT116" s="2">
        <v>0</v>
      </c>
      <c r="GU116" s="2" t="s">
        <v>3</v>
      </c>
      <c r="GV116" s="2">
        <f t="shared" si="151"/>
        <v>0</v>
      </c>
      <c r="GW116" s="2">
        <v>1</v>
      </c>
      <c r="GX116" s="2">
        <f t="shared" si="152"/>
        <v>0</v>
      </c>
      <c r="GY116" s="2"/>
      <c r="GZ116" s="2"/>
      <c r="HA116" s="2">
        <v>0</v>
      </c>
      <c r="HB116" s="2">
        <v>0</v>
      </c>
      <c r="HC116" s="2">
        <f t="shared" si="153"/>
        <v>0</v>
      </c>
      <c r="HD116" s="2"/>
      <c r="HE116" s="2" t="s">
        <v>3</v>
      </c>
      <c r="HF116" s="2" t="s">
        <v>3</v>
      </c>
      <c r="HG116" s="2"/>
      <c r="HH116" s="2"/>
      <c r="HI116" s="2">
        <f t="shared" si="154"/>
        <v>0</v>
      </c>
      <c r="HJ116" s="2">
        <f t="shared" si="155"/>
        <v>0</v>
      </c>
      <c r="HK116" s="2">
        <f t="shared" si="156"/>
        <v>0</v>
      </c>
      <c r="HL116" s="2">
        <f t="shared" si="157"/>
        <v>0</v>
      </c>
      <c r="HM116" s="2" t="s">
        <v>3</v>
      </c>
      <c r="HN116" s="2" t="s">
        <v>65</v>
      </c>
      <c r="HO116" s="2" t="s">
        <v>66</v>
      </c>
      <c r="HP116" s="2" t="s">
        <v>61</v>
      </c>
      <c r="HQ116" s="2" t="s">
        <v>61</v>
      </c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45" ht="12.75">
      <c r="A117">
        <v>18</v>
      </c>
      <c r="B117">
        <v>1</v>
      </c>
      <c r="C117">
        <v>136</v>
      </c>
      <c r="E117" t="s">
        <v>236</v>
      </c>
      <c r="F117" t="s">
        <v>237</v>
      </c>
      <c r="G117" t="s">
        <v>238</v>
      </c>
      <c r="H117" t="s">
        <v>36</v>
      </c>
      <c r="I117">
        <f>I111*J117</f>
        <v>0.15627</v>
      </c>
      <c r="J117">
        <v>0.09017311021350259</v>
      </c>
      <c r="K117">
        <v>0.090173</v>
      </c>
      <c r="O117">
        <f t="shared" si="121"/>
        <v>1017.79</v>
      </c>
      <c r="P117">
        <f t="shared" si="122"/>
        <v>1017.79</v>
      </c>
      <c r="Q117">
        <f t="shared" si="123"/>
        <v>0</v>
      </c>
      <c r="R117">
        <f t="shared" si="124"/>
        <v>0</v>
      </c>
      <c r="S117">
        <f t="shared" si="125"/>
        <v>0</v>
      </c>
      <c r="T117">
        <f t="shared" si="126"/>
        <v>0</v>
      </c>
      <c r="U117">
        <f t="shared" si="127"/>
        <v>0</v>
      </c>
      <c r="V117">
        <f t="shared" si="128"/>
        <v>0</v>
      </c>
      <c r="W117">
        <f t="shared" si="129"/>
        <v>0</v>
      </c>
      <c r="X117">
        <f t="shared" si="130"/>
        <v>0</v>
      </c>
      <c r="Y117">
        <f t="shared" si="131"/>
        <v>0</v>
      </c>
      <c r="AA117">
        <v>55463412</v>
      </c>
      <c r="AB117">
        <f t="shared" si="132"/>
        <v>6513</v>
      </c>
      <c r="AC117">
        <f t="shared" si="120"/>
        <v>6513</v>
      </c>
      <c r="AD117">
        <f t="shared" si="158"/>
        <v>0</v>
      </c>
      <c r="AE117">
        <f t="shared" si="159"/>
        <v>0</v>
      </c>
      <c r="AF117">
        <f t="shared" si="159"/>
        <v>0</v>
      </c>
      <c r="AG117">
        <f t="shared" si="133"/>
        <v>0</v>
      </c>
      <c r="AH117">
        <f t="shared" si="160"/>
        <v>0</v>
      </c>
      <c r="AI117">
        <f t="shared" si="160"/>
        <v>0</v>
      </c>
      <c r="AJ117">
        <f t="shared" si="134"/>
        <v>0</v>
      </c>
      <c r="AK117">
        <v>6513</v>
      </c>
      <c r="AL117">
        <v>6513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147</v>
      </c>
      <c r="AU117">
        <v>134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H117">
        <v>3</v>
      </c>
      <c r="BI117">
        <v>1</v>
      </c>
      <c r="BJ117" t="s">
        <v>239</v>
      </c>
      <c r="BM117">
        <v>27001</v>
      </c>
      <c r="BN117">
        <v>0</v>
      </c>
      <c r="BO117" t="s">
        <v>237</v>
      </c>
      <c r="BP117">
        <v>1</v>
      </c>
      <c r="BQ117">
        <v>2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147</v>
      </c>
      <c r="CA117">
        <v>134</v>
      </c>
      <c r="CE117">
        <v>0</v>
      </c>
      <c r="CF117">
        <v>0</v>
      </c>
      <c r="CG117">
        <v>0</v>
      </c>
      <c r="CM117">
        <v>0</v>
      </c>
      <c r="CO117">
        <v>0</v>
      </c>
      <c r="CP117">
        <f t="shared" si="135"/>
        <v>1017.79</v>
      </c>
      <c r="CQ117">
        <f t="shared" si="136"/>
        <v>6513</v>
      </c>
      <c r="CR117">
        <f t="shared" si="161"/>
        <v>0</v>
      </c>
      <c r="CS117">
        <f t="shared" si="137"/>
        <v>0</v>
      </c>
      <c r="CT117">
        <f t="shared" si="138"/>
        <v>0</v>
      </c>
      <c r="CU117">
        <f t="shared" si="139"/>
        <v>0</v>
      </c>
      <c r="CV117">
        <f t="shared" si="140"/>
        <v>0</v>
      </c>
      <c r="CW117">
        <f t="shared" si="141"/>
        <v>0</v>
      </c>
      <c r="CX117">
        <f t="shared" si="142"/>
        <v>0</v>
      </c>
      <c r="CY117">
        <f t="shared" si="143"/>
        <v>0</v>
      </c>
      <c r="CZ117">
        <f t="shared" si="144"/>
        <v>0</v>
      </c>
      <c r="DN117">
        <v>0</v>
      </c>
      <c r="DO117">
        <v>0</v>
      </c>
      <c r="DP117">
        <v>1</v>
      </c>
      <c r="DQ117">
        <v>1</v>
      </c>
      <c r="DU117">
        <v>1009</v>
      </c>
      <c r="DV117" t="s">
        <v>36</v>
      </c>
      <c r="DW117" t="s">
        <v>36</v>
      </c>
      <c r="DX117">
        <v>1000</v>
      </c>
      <c r="EE117">
        <v>55471715</v>
      </c>
      <c r="EF117">
        <v>2</v>
      </c>
      <c r="EG117" t="s">
        <v>60</v>
      </c>
      <c r="EH117">
        <v>21</v>
      </c>
      <c r="EI117" t="s">
        <v>61</v>
      </c>
      <c r="EJ117">
        <v>1</v>
      </c>
      <c r="EK117">
        <v>27001</v>
      </c>
      <c r="EL117" t="s">
        <v>61</v>
      </c>
      <c r="EM117" t="s">
        <v>63</v>
      </c>
      <c r="EQ117">
        <v>0</v>
      </c>
      <c r="ER117">
        <v>6513</v>
      </c>
      <c r="ES117">
        <v>6513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45"/>
        <v>0</v>
      </c>
      <c r="FS117">
        <v>0</v>
      </c>
      <c r="FX117">
        <v>147</v>
      </c>
      <c r="FY117">
        <v>134</v>
      </c>
      <c r="GD117">
        <v>1</v>
      </c>
      <c r="GF117">
        <v>-1724628855</v>
      </c>
      <c r="GG117">
        <v>2</v>
      </c>
      <c r="GH117">
        <v>1</v>
      </c>
      <c r="GI117">
        <v>2</v>
      </c>
      <c r="GJ117">
        <v>0</v>
      </c>
      <c r="GK117">
        <v>0</v>
      </c>
      <c r="GL117">
        <f t="shared" si="146"/>
        <v>0</v>
      </c>
      <c r="GM117">
        <f t="shared" si="147"/>
        <v>1017.79</v>
      </c>
      <c r="GN117">
        <f t="shared" si="148"/>
        <v>1017.79</v>
      </c>
      <c r="GO117">
        <f t="shared" si="149"/>
        <v>0</v>
      </c>
      <c r="GP117">
        <f t="shared" si="150"/>
        <v>0</v>
      </c>
      <c r="GR117">
        <v>0</v>
      </c>
      <c r="GS117">
        <v>3</v>
      </c>
      <c r="GT117">
        <v>0</v>
      </c>
      <c r="GV117">
        <f t="shared" si="151"/>
        <v>0</v>
      </c>
      <c r="GW117">
        <v>1</v>
      </c>
      <c r="GX117">
        <f t="shared" si="152"/>
        <v>0</v>
      </c>
      <c r="HA117">
        <v>0</v>
      </c>
      <c r="HB117">
        <v>0</v>
      </c>
      <c r="HC117">
        <f t="shared" si="153"/>
        <v>0</v>
      </c>
      <c r="HI117">
        <f t="shared" si="154"/>
        <v>0</v>
      </c>
      <c r="HJ117">
        <f t="shared" si="155"/>
        <v>0</v>
      </c>
      <c r="HK117">
        <f t="shared" si="156"/>
        <v>0</v>
      </c>
      <c r="HL117">
        <f t="shared" si="157"/>
        <v>0</v>
      </c>
      <c r="HN117" t="s">
        <v>65</v>
      </c>
      <c r="HO117" t="s">
        <v>66</v>
      </c>
      <c r="HP117" t="s">
        <v>61</v>
      </c>
      <c r="HQ117" t="s">
        <v>61</v>
      </c>
      <c r="IK117">
        <v>0</v>
      </c>
    </row>
    <row r="118" spans="1:255" ht="12.75">
      <c r="A118" s="2">
        <v>17</v>
      </c>
      <c r="B118" s="2">
        <v>1</v>
      </c>
      <c r="C118" s="2">
        <f>ROW(SmtRes!A150)</f>
        <v>150</v>
      </c>
      <c r="D118" s="2">
        <f>ROW(EtalonRes!A148)</f>
        <v>148</v>
      </c>
      <c r="E118" s="2" t="s">
        <v>240</v>
      </c>
      <c r="F118" s="2" t="s">
        <v>241</v>
      </c>
      <c r="G118" s="2" t="s">
        <v>242</v>
      </c>
      <c r="H118" s="2" t="s">
        <v>25</v>
      </c>
      <c r="I118" s="2">
        <f>ROUND(22/100,7)</f>
        <v>0.22</v>
      </c>
      <c r="J118" s="2">
        <v>0</v>
      </c>
      <c r="K118" s="2">
        <f>ROUND(22/100,7)</f>
        <v>0.22</v>
      </c>
      <c r="L118" s="2"/>
      <c r="M118" s="2"/>
      <c r="N118" s="2"/>
      <c r="O118" s="2">
        <f t="shared" si="121"/>
        <v>711.98</v>
      </c>
      <c r="P118" s="2">
        <f t="shared" si="122"/>
        <v>18.86</v>
      </c>
      <c r="Q118" s="2">
        <f t="shared" si="123"/>
        <v>6.71</v>
      </c>
      <c r="R118" s="2">
        <f t="shared" si="124"/>
        <v>4.82</v>
      </c>
      <c r="S118" s="2">
        <f t="shared" si="125"/>
        <v>686.41</v>
      </c>
      <c r="T118" s="2">
        <f t="shared" si="126"/>
        <v>0</v>
      </c>
      <c r="U118" s="2">
        <f t="shared" si="127"/>
        <v>78.53626</v>
      </c>
      <c r="V118" s="2">
        <f t="shared" si="128"/>
        <v>0.47575</v>
      </c>
      <c r="W118" s="2">
        <f t="shared" si="129"/>
        <v>0</v>
      </c>
      <c r="X118" s="2">
        <f t="shared" si="130"/>
        <v>696.76</v>
      </c>
      <c r="Y118" s="2">
        <f t="shared" si="131"/>
        <v>381.9</v>
      </c>
      <c r="Z118" s="2"/>
      <c r="AA118" s="2">
        <v>55463411</v>
      </c>
      <c r="AB118" s="2">
        <f t="shared" si="132"/>
        <v>3236.29</v>
      </c>
      <c r="AC118" s="2">
        <f t="shared" si="120"/>
        <v>85.74</v>
      </c>
      <c r="AD118" s="2">
        <f>ROUND(((((ET118*ROUND(1.25,7)))-((EU118*ROUND(1.25,7))))+AE118),2)</f>
        <v>30.52</v>
      </c>
      <c r="AE118" s="2">
        <f>ROUND(((EU118*ROUND(1.25,7))),2)</f>
        <v>21.91</v>
      </c>
      <c r="AF118" s="2">
        <f>ROUND(((EV118*ROUND(1.15,7))),2)</f>
        <v>3120.03</v>
      </c>
      <c r="AG118" s="2">
        <f t="shared" si="133"/>
        <v>0</v>
      </c>
      <c r="AH118" s="2">
        <f>((EW118*ROUND(1.15,7)))</f>
        <v>356.983</v>
      </c>
      <c r="AI118" s="2">
        <f>((EX118*ROUND(1.25,7)))</f>
        <v>2.1625</v>
      </c>
      <c r="AJ118" s="2">
        <f t="shared" si="134"/>
        <v>0</v>
      </c>
      <c r="AK118" s="2">
        <v>2823.23</v>
      </c>
      <c r="AL118" s="2">
        <v>85.74</v>
      </c>
      <c r="AM118" s="2">
        <v>24.42</v>
      </c>
      <c r="AN118" s="2">
        <v>17.53</v>
      </c>
      <c r="AO118" s="2">
        <v>2713.07</v>
      </c>
      <c r="AP118" s="2">
        <v>0</v>
      </c>
      <c r="AQ118" s="2">
        <v>310.42</v>
      </c>
      <c r="AR118" s="2">
        <v>1.73</v>
      </c>
      <c r="AS118" s="2">
        <v>0</v>
      </c>
      <c r="AT118" s="2">
        <v>100.8</v>
      </c>
      <c r="AU118" s="2">
        <v>55.25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3</v>
      </c>
      <c r="BE118" s="2" t="s">
        <v>3</v>
      </c>
      <c r="BF118" s="2" t="s">
        <v>3</v>
      </c>
      <c r="BG118" s="2" t="s">
        <v>3</v>
      </c>
      <c r="BH118" s="2">
        <v>0</v>
      </c>
      <c r="BI118" s="2">
        <v>1</v>
      </c>
      <c r="BJ118" s="2" t="s">
        <v>243</v>
      </c>
      <c r="BK118" s="2"/>
      <c r="BL118" s="2"/>
      <c r="BM118" s="2">
        <v>11001</v>
      </c>
      <c r="BN118" s="2">
        <v>0</v>
      </c>
      <c r="BO118" s="2" t="s">
        <v>3</v>
      </c>
      <c r="BP118" s="2">
        <v>0</v>
      </c>
      <c r="BQ118" s="2">
        <v>2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3</v>
      </c>
      <c r="BZ118" s="2">
        <v>112</v>
      </c>
      <c r="CA118" s="2">
        <v>65</v>
      </c>
      <c r="CB118" s="2" t="s">
        <v>3</v>
      </c>
      <c r="CC118" s="2"/>
      <c r="CD118" s="2"/>
      <c r="CE118" s="2">
        <v>0</v>
      </c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480</v>
      </c>
      <c r="CO118" s="2">
        <v>0</v>
      </c>
      <c r="CP118" s="2">
        <f t="shared" si="135"/>
        <v>711.98</v>
      </c>
      <c r="CQ118" s="2">
        <f t="shared" si="136"/>
        <v>85.74</v>
      </c>
      <c r="CR118" s="2">
        <f>((((ET118*ROUND(1.25,7)))*BB118-((EU118*ROUND(1.25,7))))+AE118)</f>
        <v>30.5225</v>
      </c>
      <c r="CS118" s="2">
        <f t="shared" si="137"/>
        <v>21.91</v>
      </c>
      <c r="CT118" s="2">
        <f t="shared" si="138"/>
        <v>3120.03</v>
      </c>
      <c r="CU118" s="2">
        <f t="shared" si="139"/>
        <v>0</v>
      </c>
      <c r="CV118" s="2">
        <f t="shared" si="140"/>
        <v>356.983</v>
      </c>
      <c r="CW118" s="2">
        <f t="shared" si="141"/>
        <v>2.1625</v>
      </c>
      <c r="CX118" s="2">
        <f t="shared" si="142"/>
        <v>0</v>
      </c>
      <c r="CY118" s="2">
        <f t="shared" si="143"/>
        <v>696.7598399999999</v>
      </c>
      <c r="CZ118" s="2">
        <f t="shared" si="144"/>
        <v>381.904575</v>
      </c>
      <c r="DA118" s="2"/>
      <c r="DB118" s="2"/>
      <c r="DC118" s="2" t="s">
        <v>3</v>
      </c>
      <c r="DD118" s="2" t="s">
        <v>3</v>
      </c>
      <c r="DE118" s="2" t="s">
        <v>56</v>
      </c>
      <c r="DF118" s="2" t="s">
        <v>56</v>
      </c>
      <c r="DG118" s="2" t="s">
        <v>57</v>
      </c>
      <c r="DH118" s="2" t="s">
        <v>3</v>
      </c>
      <c r="DI118" s="2" t="s">
        <v>57</v>
      </c>
      <c r="DJ118" s="2" t="s">
        <v>56</v>
      </c>
      <c r="DK118" s="2" t="s">
        <v>3</v>
      </c>
      <c r="DL118" s="2" t="s">
        <v>58</v>
      </c>
      <c r="DM118" s="2" t="s">
        <v>59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1005</v>
      </c>
      <c r="DV118" s="2" t="s">
        <v>25</v>
      </c>
      <c r="DW118" s="2" t="s">
        <v>25</v>
      </c>
      <c r="DX118" s="2">
        <v>100</v>
      </c>
      <c r="DY118" s="2"/>
      <c r="DZ118" s="2" t="s">
        <v>3</v>
      </c>
      <c r="EA118" s="2" t="s">
        <v>3</v>
      </c>
      <c r="EB118" s="2" t="s">
        <v>3</v>
      </c>
      <c r="EC118" s="2" t="s">
        <v>3</v>
      </c>
      <c r="ED118" s="2"/>
      <c r="EE118" s="2">
        <v>55471663</v>
      </c>
      <c r="EF118" s="2">
        <v>2</v>
      </c>
      <c r="EG118" s="2" t="s">
        <v>60</v>
      </c>
      <c r="EH118" s="2">
        <v>11</v>
      </c>
      <c r="EI118" s="2" t="s">
        <v>28</v>
      </c>
      <c r="EJ118" s="2">
        <v>1</v>
      </c>
      <c r="EK118" s="2">
        <v>11001</v>
      </c>
      <c r="EL118" s="2" t="s">
        <v>28</v>
      </c>
      <c r="EM118" s="2" t="s">
        <v>146</v>
      </c>
      <c r="EN118" s="2"/>
      <c r="EO118" s="2" t="s">
        <v>139</v>
      </c>
      <c r="EP118" s="2"/>
      <c r="EQ118" s="2">
        <v>0</v>
      </c>
      <c r="ER118" s="2">
        <v>2823.23</v>
      </c>
      <c r="ES118" s="2">
        <v>85.74</v>
      </c>
      <c r="ET118" s="2">
        <v>24.42</v>
      </c>
      <c r="EU118" s="2">
        <v>17.53</v>
      </c>
      <c r="EV118" s="2">
        <v>2713.07</v>
      </c>
      <c r="EW118" s="2">
        <v>310.42</v>
      </c>
      <c r="EX118" s="2">
        <v>1.73</v>
      </c>
      <c r="EY118" s="2">
        <v>0</v>
      </c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45"/>
        <v>0</v>
      </c>
      <c r="FS118" s="2">
        <v>0</v>
      </c>
      <c r="FT118" s="2"/>
      <c r="FU118" s="2"/>
      <c r="FV118" s="2"/>
      <c r="FW118" s="2"/>
      <c r="FX118" s="2">
        <v>100.8</v>
      </c>
      <c r="FY118" s="2">
        <v>55.25</v>
      </c>
      <c r="FZ118" s="2"/>
      <c r="GA118" s="2" t="s">
        <v>3</v>
      </c>
      <c r="GB118" s="2"/>
      <c r="GC118" s="2"/>
      <c r="GD118" s="2">
        <v>1</v>
      </c>
      <c r="GE118" s="2"/>
      <c r="GF118" s="2">
        <v>305316977</v>
      </c>
      <c r="GG118" s="2">
        <v>2</v>
      </c>
      <c r="GH118" s="2">
        <v>1</v>
      </c>
      <c r="GI118" s="2">
        <v>-2</v>
      </c>
      <c r="GJ118" s="2">
        <v>0</v>
      </c>
      <c r="GK118" s="2">
        <v>0</v>
      </c>
      <c r="GL118" s="2">
        <f t="shared" si="146"/>
        <v>0</v>
      </c>
      <c r="GM118" s="2">
        <f t="shared" si="147"/>
        <v>1790.64</v>
      </c>
      <c r="GN118" s="2">
        <f t="shared" si="148"/>
        <v>1790.64</v>
      </c>
      <c r="GO118" s="2">
        <f t="shared" si="149"/>
        <v>0</v>
      </c>
      <c r="GP118" s="2">
        <f t="shared" si="150"/>
        <v>0</v>
      </c>
      <c r="GQ118" s="2"/>
      <c r="GR118" s="2">
        <v>0</v>
      </c>
      <c r="GS118" s="2">
        <v>3</v>
      </c>
      <c r="GT118" s="2">
        <v>0</v>
      </c>
      <c r="GU118" s="2" t="s">
        <v>3</v>
      </c>
      <c r="GV118" s="2">
        <f t="shared" si="151"/>
        <v>0</v>
      </c>
      <c r="GW118" s="2">
        <v>1</v>
      </c>
      <c r="GX118" s="2">
        <f t="shared" si="152"/>
        <v>0</v>
      </c>
      <c r="GY118" s="2"/>
      <c r="GZ118" s="2"/>
      <c r="HA118" s="2">
        <v>0</v>
      </c>
      <c r="HB118" s="2">
        <v>0</v>
      </c>
      <c r="HC118" s="2">
        <f t="shared" si="153"/>
        <v>0</v>
      </c>
      <c r="HD118" s="2"/>
      <c r="HE118" s="2" t="s">
        <v>3</v>
      </c>
      <c r="HF118" s="2" t="s">
        <v>3</v>
      </c>
      <c r="HG118" s="2"/>
      <c r="HH118" s="2"/>
      <c r="HI118" s="2">
        <f t="shared" si="154"/>
        <v>4.82</v>
      </c>
      <c r="HJ118" s="2">
        <f t="shared" si="155"/>
        <v>686.41</v>
      </c>
      <c r="HK118" s="2">
        <f t="shared" si="156"/>
        <v>696.76</v>
      </c>
      <c r="HL118" s="2">
        <f t="shared" si="157"/>
        <v>381.9</v>
      </c>
      <c r="HM118" s="2" t="s">
        <v>3</v>
      </c>
      <c r="HN118" s="2" t="s">
        <v>147</v>
      </c>
      <c r="HO118" s="2" t="s">
        <v>148</v>
      </c>
      <c r="HP118" s="2" t="s">
        <v>28</v>
      </c>
      <c r="HQ118" s="2" t="s">
        <v>28</v>
      </c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45" ht="12.75">
      <c r="A119">
        <v>17</v>
      </c>
      <c r="B119">
        <v>1</v>
      </c>
      <c r="C119">
        <f>ROW(SmtRes!A162)</f>
        <v>162</v>
      </c>
      <c r="D119">
        <f>ROW(EtalonRes!A160)</f>
        <v>160</v>
      </c>
      <c r="E119" t="s">
        <v>240</v>
      </c>
      <c r="F119" t="s">
        <v>241</v>
      </c>
      <c r="G119" t="s">
        <v>242</v>
      </c>
      <c r="H119" t="s">
        <v>25</v>
      </c>
      <c r="I119">
        <f>ROUND(22/100,7)</f>
        <v>0.22</v>
      </c>
      <c r="J119">
        <v>0</v>
      </c>
      <c r="K119">
        <f>ROUND(22/100,7)</f>
        <v>0.22</v>
      </c>
      <c r="O119">
        <f t="shared" si="121"/>
        <v>711.98</v>
      </c>
      <c r="P119">
        <f t="shared" si="122"/>
        <v>18.86</v>
      </c>
      <c r="Q119">
        <f t="shared" si="123"/>
        <v>6.71</v>
      </c>
      <c r="R119">
        <f t="shared" si="124"/>
        <v>4.82</v>
      </c>
      <c r="S119">
        <f t="shared" si="125"/>
        <v>686.41</v>
      </c>
      <c r="T119">
        <f t="shared" si="126"/>
        <v>0</v>
      </c>
      <c r="U119">
        <f t="shared" si="127"/>
        <v>78.53626</v>
      </c>
      <c r="V119">
        <f t="shared" si="128"/>
        <v>0.47575</v>
      </c>
      <c r="W119">
        <f t="shared" si="129"/>
        <v>0</v>
      </c>
      <c r="X119">
        <f t="shared" si="130"/>
        <v>696.76</v>
      </c>
      <c r="Y119">
        <f t="shared" si="131"/>
        <v>381.9</v>
      </c>
      <c r="AA119">
        <v>55463412</v>
      </c>
      <c r="AB119">
        <f t="shared" si="132"/>
        <v>3236.29</v>
      </c>
      <c r="AC119">
        <f t="shared" si="120"/>
        <v>85.74</v>
      </c>
      <c r="AD119">
        <f>ROUND(((((ET119*ROUND(1.25,7)))-((EU119*ROUND(1.25,7))))+AE119),2)</f>
        <v>30.52</v>
      </c>
      <c r="AE119">
        <f>ROUND(((EU119*ROUND(1.25,7))),2)</f>
        <v>21.91</v>
      </c>
      <c r="AF119">
        <f>ROUND(((EV119*ROUND(1.15,7))),2)</f>
        <v>3120.03</v>
      </c>
      <c r="AG119">
        <f t="shared" si="133"/>
        <v>0</v>
      </c>
      <c r="AH119">
        <f>((EW119*ROUND(1.15,7)))</f>
        <v>356.983</v>
      </c>
      <c r="AI119">
        <f>((EX119*ROUND(1.25,7)))</f>
        <v>2.1625</v>
      </c>
      <c r="AJ119">
        <f t="shared" si="134"/>
        <v>0</v>
      </c>
      <c r="AK119">
        <v>2823.23</v>
      </c>
      <c r="AL119">
        <v>85.74</v>
      </c>
      <c r="AM119">
        <v>24.42</v>
      </c>
      <c r="AN119">
        <v>17.53</v>
      </c>
      <c r="AO119">
        <v>2713.07</v>
      </c>
      <c r="AP119">
        <v>0</v>
      </c>
      <c r="AQ119">
        <v>310.42</v>
      </c>
      <c r="AR119">
        <v>1.73</v>
      </c>
      <c r="AS119">
        <v>0</v>
      </c>
      <c r="AT119">
        <v>100.8</v>
      </c>
      <c r="AU119">
        <v>55.25</v>
      </c>
      <c r="AV119">
        <v>1</v>
      </c>
      <c r="AW119">
        <v>1</v>
      </c>
      <c r="AZ119">
        <v>1</v>
      </c>
      <c r="BA119">
        <v>36.47</v>
      </c>
      <c r="BB119">
        <v>1</v>
      </c>
      <c r="BC119">
        <v>1</v>
      </c>
      <c r="BH119">
        <v>0</v>
      </c>
      <c r="BI119">
        <v>1</v>
      </c>
      <c r="BJ119" t="s">
        <v>243</v>
      </c>
      <c r="BM119">
        <v>11001</v>
      </c>
      <c r="BN119">
        <v>0</v>
      </c>
      <c r="BO119" t="s">
        <v>32</v>
      </c>
      <c r="BP119">
        <v>1</v>
      </c>
      <c r="BQ119">
        <v>2</v>
      </c>
      <c r="BR119">
        <v>0</v>
      </c>
      <c r="BS119">
        <v>36.47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112</v>
      </c>
      <c r="CA119">
        <v>65</v>
      </c>
      <c r="CE119">
        <v>0</v>
      </c>
      <c r="CF119">
        <v>0</v>
      </c>
      <c r="CG119">
        <v>0</v>
      </c>
      <c r="CM119">
        <v>0</v>
      </c>
      <c r="CN119" t="s">
        <v>480</v>
      </c>
      <c r="CO119">
        <v>0</v>
      </c>
      <c r="CP119">
        <f t="shared" si="135"/>
        <v>711.98</v>
      </c>
      <c r="CQ119">
        <f t="shared" si="136"/>
        <v>85.74</v>
      </c>
      <c r="CR119">
        <f>((((ET119*ROUND(1.25,7)))*BB119-((EU119*ROUND(1.25,7))))+AE119)</f>
        <v>30.5225</v>
      </c>
      <c r="CS119">
        <f t="shared" si="137"/>
        <v>21.91</v>
      </c>
      <c r="CT119">
        <f t="shared" si="138"/>
        <v>3120.03</v>
      </c>
      <c r="CU119">
        <f t="shared" si="139"/>
        <v>0</v>
      </c>
      <c r="CV119">
        <f t="shared" si="140"/>
        <v>356.983</v>
      </c>
      <c r="CW119">
        <f t="shared" si="141"/>
        <v>2.1625</v>
      </c>
      <c r="CX119">
        <f t="shared" si="142"/>
        <v>0</v>
      </c>
      <c r="CY119">
        <f t="shared" si="143"/>
        <v>696.7598399999999</v>
      </c>
      <c r="CZ119">
        <f t="shared" si="144"/>
        <v>381.904575</v>
      </c>
      <c r="DE119" t="s">
        <v>56</v>
      </c>
      <c r="DF119" t="s">
        <v>56</v>
      </c>
      <c r="DG119" t="s">
        <v>57</v>
      </c>
      <c r="DI119" t="s">
        <v>57</v>
      </c>
      <c r="DJ119" t="s">
        <v>56</v>
      </c>
      <c r="DL119" t="s">
        <v>58</v>
      </c>
      <c r="DM119" t="s">
        <v>59</v>
      </c>
      <c r="DN119">
        <v>0</v>
      </c>
      <c r="DO119">
        <v>0</v>
      </c>
      <c r="DP119">
        <v>1</v>
      </c>
      <c r="DQ119">
        <v>1</v>
      </c>
      <c r="DU119">
        <v>1005</v>
      </c>
      <c r="DV119" t="s">
        <v>25</v>
      </c>
      <c r="DW119" t="s">
        <v>25</v>
      </c>
      <c r="DX119">
        <v>100</v>
      </c>
      <c r="EE119">
        <v>55471663</v>
      </c>
      <c r="EF119">
        <v>2</v>
      </c>
      <c r="EG119" t="s">
        <v>60</v>
      </c>
      <c r="EH119">
        <v>11</v>
      </c>
      <c r="EI119" t="s">
        <v>28</v>
      </c>
      <c r="EJ119">
        <v>1</v>
      </c>
      <c r="EK119">
        <v>11001</v>
      </c>
      <c r="EL119" t="s">
        <v>28</v>
      </c>
      <c r="EM119" t="s">
        <v>146</v>
      </c>
      <c r="EO119" t="s">
        <v>139</v>
      </c>
      <c r="EQ119">
        <v>0</v>
      </c>
      <c r="ER119">
        <v>2823.23</v>
      </c>
      <c r="ES119">
        <v>85.74</v>
      </c>
      <c r="ET119">
        <v>24.42</v>
      </c>
      <c r="EU119">
        <v>17.53</v>
      </c>
      <c r="EV119">
        <v>2713.07</v>
      </c>
      <c r="EW119">
        <v>310.42</v>
      </c>
      <c r="EX119">
        <v>1.73</v>
      </c>
      <c r="EY119">
        <v>0</v>
      </c>
      <c r="FQ119">
        <v>0</v>
      </c>
      <c r="FR119">
        <f t="shared" si="145"/>
        <v>0</v>
      </c>
      <c r="FS119">
        <v>0</v>
      </c>
      <c r="FX119">
        <v>100.8</v>
      </c>
      <c r="FY119">
        <v>55.25</v>
      </c>
      <c r="GD119">
        <v>1</v>
      </c>
      <c r="GF119">
        <v>305316977</v>
      </c>
      <c r="GG119">
        <v>2</v>
      </c>
      <c r="GH119">
        <v>1</v>
      </c>
      <c r="GI119">
        <v>4</v>
      </c>
      <c r="GJ119">
        <v>0</v>
      </c>
      <c r="GK119">
        <v>0</v>
      </c>
      <c r="GL119">
        <f t="shared" si="146"/>
        <v>0</v>
      </c>
      <c r="GM119">
        <f t="shared" si="147"/>
        <v>1790.64</v>
      </c>
      <c r="GN119">
        <f t="shared" si="148"/>
        <v>1790.64</v>
      </c>
      <c r="GO119">
        <f t="shared" si="149"/>
        <v>0</v>
      </c>
      <c r="GP119">
        <f t="shared" si="150"/>
        <v>0</v>
      </c>
      <c r="GR119">
        <v>0</v>
      </c>
      <c r="GS119">
        <v>0</v>
      </c>
      <c r="GT119">
        <v>0</v>
      </c>
      <c r="GV119">
        <f t="shared" si="151"/>
        <v>0</v>
      </c>
      <c r="GW119">
        <v>1</v>
      </c>
      <c r="GX119">
        <f t="shared" si="152"/>
        <v>0</v>
      </c>
      <c r="HA119">
        <v>0</v>
      </c>
      <c r="HB119">
        <v>0</v>
      </c>
      <c r="HC119">
        <f t="shared" si="153"/>
        <v>0</v>
      </c>
      <c r="HI119">
        <f t="shared" si="154"/>
        <v>175.79</v>
      </c>
      <c r="HJ119">
        <f t="shared" si="155"/>
        <v>25033.37</v>
      </c>
      <c r="HK119">
        <f t="shared" si="156"/>
        <v>25410.83</v>
      </c>
      <c r="HL119">
        <f t="shared" si="157"/>
        <v>13928.06</v>
      </c>
      <c r="HN119" t="s">
        <v>147</v>
      </c>
      <c r="HO119" t="s">
        <v>148</v>
      </c>
      <c r="HP119" t="s">
        <v>28</v>
      </c>
      <c r="HQ119" t="s">
        <v>28</v>
      </c>
      <c r="IK119">
        <v>0</v>
      </c>
    </row>
    <row r="120" spans="1:255" ht="12.75">
      <c r="A120" s="2">
        <v>18</v>
      </c>
      <c r="B120" s="2">
        <v>1</v>
      </c>
      <c r="C120" s="2">
        <v>147</v>
      </c>
      <c r="D120" s="2"/>
      <c r="E120" s="2" t="s">
        <v>244</v>
      </c>
      <c r="F120" s="2" t="s">
        <v>245</v>
      </c>
      <c r="G120" s="2" t="s">
        <v>246</v>
      </c>
      <c r="H120" s="2" t="s">
        <v>165</v>
      </c>
      <c r="I120" s="2">
        <f>I118*J120</f>
        <v>23.1</v>
      </c>
      <c r="J120" s="2">
        <v>105</v>
      </c>
      <c r="K120" s="2">
        <v>105</v>
      </c>
      <c r="L120" s="2"/>
      <c r="M120" s="2"/>
      <c r="N120" s="2"/>
      <c r="O120" s="2">
        <f t="shared" si="121"/>
        <v>3244.4</v>
      </c>
      <c r="P120" s="2">
        <f t="shared" si="122"/>
        <v>3244.4</v>
      </c>
      <c r="Q120" s="2">
        <f t="shared" si="123"/>
        <v>0</v>
      </c>
      <c r="R120" s="2">
        <f t="shared" si="124"/>
        <v>0</v>
      </c>
      <c r="S120" s="2">
        <f t="shared" si="125"/>
        <v>0</v>
      </c>
      <c r="T120" s="2">
        <f t="shared" si="126"/>
        <v>0</v>
      </c>
      <c r="U120" s="2">
        <f t="shared" si="127"/>
        <v>0</v>
      </c>
      <c r="V120" s="2">
        <f t="shared" si="128"/>
        <v>0</v>
      </c>
      <c r="W120" s="2">
        <f t="shared" si="129"/>
        <v>0</v>
      </c>
      <c r="X120" s="2">
        <f t="shared" si="130"/>
        <v>0</v>
      </c>
      <c r="Y120" s="2">
        <f t="shared" si="131"/>
        <v>0</v>
      </c>
      <c r="Z120" s="2"/>
      <c r="AA120" s="2">
        <v>55463411</v>
      </c>
      <c r="AB120" s="2">
        <f t="shared" si="132"/>
        <v>140.45</v>
      </c>
      <c r="AC120" s="2">
        <f t="shared" si="120"/>
        <v>140.45</v>
      </c>
      <c r="AD120" s="2">
        <f aca="true" t="shared" si="162" ref="AD120:AD127">ROUND((((ET120)-(EU120))+AE120),2)</f>
        <v>0</v>
      </c>
      <c r="AE120" s="2">
        <f aca="true" t="shared" si="163" ref="AE120:AF127">ROUND((EU120),2)</f>
        <v>0</v>
      </c>
      <c r="AF120" s="2">
        <f t="shared" si="163"/>
        <v>0</v>
      </c>
      <c r="AG120" s="2">
        <f t="shared" si="133"/>
        <v>0</v>
      </c>
      <c r="AH120" s="2">
        <f aca="true" t="shared" si="164" ref="AH120:AI127">(EW120)</f>
        <v>0</v>
      </c>
      <c r="AI120" s="2">
        <f t="shared" si="164"/>
        <v>0</v>
      </c>
      <c r="AJ120" s="2">
        <f t="shared" si="134"/>
        <v>0</v>
      </c>
      <c r="AK120" s="2">
        <v>140.45</v>
      </c>
      <c r="AL120" s="2">
        <v>140.45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112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3</v>
      </c>
      <c r="BE120" s="2" t="s">
        <v>3</v>
      </c>
      <c r="BF120" s="2" t="s">
        <v>3</v>
      </c>
      <c r="BG120" s="2" t="s">
        <v>3</v>
      </c>
      <c r="BH120" s="2">
        <v>3</v>
      </c>
      <c r="BI120" s="2">
        <v>1</v>
      </c>
      <c r="BJ120" s="2" t="s">
        <v>247</v>
      </c>
      <c r="BK120" s="2"/>
      <c r="BL120" s="2"/>
      <c r="BM120" s="2">
        <v>11001</v>
      </c>
      <c r="BN120" s="2">
        <v>0</v>
      </c>
      <c r="BO120" s="2" t="s">
        <v>3</v>
      </c>
      <c r="BP120" s="2">
        <v>0</v>
      </c>
      <c r="BQ120" s="2">
        <v>2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3</v>
      </c>
      <c r="BZ120" s="2">
        <v>112</v>
      </c>
      <c r="CA120" s="2">
        <v>65</v>
      </c>
      <c r="CB120" s="2" t="s">
        <v>3</v>
      </c>
      <c r="CC120" s="2"/>
      <c r="CD120" s="2"/>
      <c r="CE120" s="2">
        <v>0</v>
      </c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3</v>
      </c>
      <c r="CO120" s="2">
        <v>0</v>
      </c>
      <c r="CP120" s="2">
        <f t="shared" si="135"/>
        <v>3244.4</v>
      </c>
      <c r="CQ120" s="2">
        <f t="shared" si="136"/>
        <v>140.45</v>
      </c>
      <c r="CR120" s="2">
        <f aca="true" t="shared" si="165" ref="CR120:CR127">(((ET120)*BB120-(EU120))+AE120)</f>
        <v>0</v>
      </c>
      <c r="CS120" s="2">
        <f t="shared" si="137"/>
        <v>0</v>
      </c>
      <c r="CT120" s="2">
        <f t="shared" si="138"/>
        <v>0</v>
      </c>
      <c r="CU120" s="2">
        <f t="shared" si="139"/>
        <v>0</v>
      </c>
      <c r="CV120" s="2">
        <f t="shared" si="140"/>
        <v>0</v>
      </c>
      <c r="CW120" s="2">
        <f t="shared" si="141"/>
        <v>0</v>
      </c>
      <c r="CX120" s="2">
        <f t="shared" si="142"/>
        <v>0</v>
      </c>
      <c r="CY120" s="2">
        <f t="shared" si="143"/>
        <v>0</v>
      </c>
      <c r="CZ120" s="2">
        <f t="shared" si="144"/>
        <v>0</v>
      </c>
      <c r="DA120" s="2"/>
      <c r="DB120" s="2"/>
      <c r="DC120" s="2" t="s">
        <v>3</v>
      </c>
      <c r="DD120" s="2" t="s">
        <v>3</v>
      </c>
      <c r="DE120" s="2" t="s">
        <v>3</v>
      </c>
      <c r="DF120" s="2" t="s">
        <v>3</v>
      </c>
      <c r="DG120" s="2" t="s">
        <v>3</v>
      </c>
      <c r="DH120" s="2" t="s">
        <v>3</v>
      </c>
      <c r="DI120" s="2" t="s">
        <v>3</v>
      </c>
      <c r="DJ120" s="2" t="s">
        <v>3</v>
      </c>
      <c r="DK120" s="2" t="s">
        <v>3</v>
      </c>
      <c r="DL120" s="2" t="s">
        <v>3</v>
      </c>
      <c r="DM120" s="2" t="s">
        <v>3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1005</v>
      </c>
      <c r="DV120" s="2" t="s">
        <v>165</v>
      </c>
      <c r="DW120" s="2" t="s">
        <v>165</v>
      </c>
      <c r="DX120" s="2">
        <v>1</v>
      </c>
      <c r="DY120" s="2"/>
      <c r="DZ120" s="2" t="s">
        <v>3</v>
      </c>
      <c r="EA120" s="2" t="s">
        <v>3</v>
      </c>
      <c r="EB120" s="2" t="s">
        <v>3</v>
      </c>
      <c r="EC120" s="2" t="s">
        <v>3</v>
      </c>
      <c r="ED120" s="2"/>
      <c r="EE120" s="2">
        <v>55471663</v>
      </c>
      <c r="EF120" s="2">
        <v>2</v>
      </c>
      <c r="EG120" s="2" t="s">
        <v>60</v>
      </c>
      <c r="EH120" s="2">
        <v>11</v>
      </c>
      <c r="EI120" s="2" t="s">
        <v>28</v>
      </c>
      <c r="EJ120" s="2">
        <v>1</v>
      </c>
      <c r="EK120" s="2">
        <v>11001</v>
      </c>
      <c r="EL120" s="2" t="s">
        <v>28</v>
      </c>
      <c r="EM120" s="2" t="s">
        <v>146</v>
      </c>
      <c r="EN120" s="2"/>
      <c r="EO120" s="2" t="s">
        <v>3</v>
      </c>
      <c r="EP120" s="2"/>
      <c r="EQ120" s="2">
        <v>0</v>
      </c>
      <c r="ER120" s="2">
        <v>140.45</v>
      </c>
      <c r="ES120" s="2">
        <v>140.45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si="145"/>
        <v>0</v>
      </c>
      <c r="FS120" s="2">
        <v>0</v>
      </c>
      <c r="FT120" s="2"/>
      <c r="FU120" s="2"/>
      <c r="FV120" s="2"/>
      <c r="FW120" s="2"/>
      <c r="FX120" s="2">
        <v>112</v>
      </c>
      <c r="FY120" s="2">
        <v>65</v>
      </c>
      <c r="FZ120" s="2"/>
      <c r="GA120" s="2" t="s">
        <v>3</v>
      </c>
      <c r="GB120" s="2"/>
      <c r="GC120" s="2"/>
      <c r="GD120" s="2">
        <v>1</v>
      </c>
      <c r="GE120" s="2"/>
      <c r="GF120" s="2">
        <v>-289686462</v>
      </c>
      <c r="GG120" s="2">
        <v>2</v>
      </c>
      <c r="GH120" s="2">
        <v>1</v>
      </c>
      <c r="GI120" s="2">
        <v>-2</v>
      </c>
      <c r="GJ120" s="2">
        <v>0</v>
      </c>
      <c r="GK120" s="2">
        <v>0</v>
      </c>
      <c r="GL120" s="2">
        <f t="shared" si="146"/>
        <v>0</v>
      </c>
      <c r="GM120" s="2">
        <f t="shared" si="147"/>
        <v>3244.4</v>
      </c>
      <c r="GN120" s="2">
        <f t="shared" si="148"/>
        <v>3244.4</v>
      </c>
      <c r="GO120" s="2">
        <f t="shared" si="149"/>
        <v>0</v>
      </c>
      <c r="GP120" s="2">
        <f t="shared" si="150"/>
        <v>0</v>
      </c>
      <c r="GQ120" s="2"/>
      <c r="GR120" s="2">
        <v>0</v>
      </c>
      <c r="GS120" s="2">
        <v>3</v>
      </c>
      <c r="GT120" s="2">
        <v>0</v>
      </c>
      <c r="GU120" s="2" t="s">
        <v>3</v>
      </c>
      <c r="GV120" s="2">
        <f t="shared" si="151"/>
        <v>0</v>
      </c>
      <c r="GW120" s="2">
        <v>1</v>
      </c>
      <c r="GX120" s="2">
        <f t="shared" si="152"/>
        <v>0</v>
      </c>
      <c r="GY120" s="2"/>
      <c r="GZ120" s="2"/>
      <c r="HA120" s="2">
        <v>0</v>
      </c>
      <c r="HB120" s="2">
        <v>0</v>
      </c>
      <c r="HC120" s="2">
        <f t="shared" si="153"/>
        <v>0</v>
      </c>
      <c r="HD120" s="2"/>
      <c r="HE120" s="2" t="s">
        <v>3</v>
      </c>
      <c r="HF120" s="2" t="s">
        <v>3</v>
      </c>
      <c r="HG120" s="2"/>
      <c r="HH120" s="2"/>
      <c r="HI120" s="2">
        <f t="shared" si="154"/>
        <v>0</v>
      </c>
      <c r="HJ120" s="2">
        <f t="shared" si="155"/>
        <v>0</v>
      </c>
      <c r="HK120" s="2">
        <f t="shared" si="156"/>
        <v>0</v>
      </c>
      <c r="HL120" s="2">
        <f t="shared" si="157"/>
        <v>0</v>
      </c>
      <c r="HM120" s="2" t="s">
        <v>3</v>
      </c>
      <c r="HN120" s="2" t="s">
        <v>147</v>
      </c>
      <c r="HO120" s="2" t="s">
        <v>148</v>
      </c>
      <c r="HP120" s="2" t="s">
        <v>28</v>
      </c>
      <c r="HQ120" s="2" t="s">
        <v>28</v>
      </c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45" ht="12.75">
      <c r="A121">
        <v>18</v>
      </c>
      <c r="B121">
        <v>1</v>
      </c>
      <c r="C121">
        <v>159</v>
      </c>
      <c r="E121" t="s">
        <v>244</v>
      </c>
      <c r="F121" t="s">
        <v>245</v>
      </c>
      <c r="G121" t="s">
        <v>246</v>
      </c>
      <c r="H121" t="s">
        <v>165</v>
      </c>
      <c r="I121">
        <f>I119*J121</f>
        <v>23.1</v>
      </c>
      <c r="J121">
        <v>105</v>
      </c>
      <c r="K121">
        <v>105</v>
      </c>
      <c r="O121">
        <f t="shared" si="121"/>
        <v>3244.4</v>
      </c>
      <c r="P121">
        <f t="shared" si="122"/>
        <v>3244.4</v>
      </c>
      <c r="Q121">
        <f t="shared" si="123"/>
        <v>0</v>
      </c>
      <c r="R121">
        <f t="shared" si="124"/>
        <v>0</v>
      </c>
      <c r="S121">
        <f t="shared" si="125"/>
        <v>0</v>
      </c>
      <c r="T121">
        <f t="shared" si="126"/>
        <v>0</v>
      </c>
      <c r="U121">
        <f t="shared" si="127"/>
        <v>0</v>
      </c>
      <c r="V121">
        <f t="shared" si="128"/>
        <v>0</v>
      </c>
      <c r="W121">
        <f t="shared" si="129"/>
        <v>0</v>
      </c>
      <c r="X121">
        <f t="shared" si="130"/>
        <v>0</v>
      </c>
      <c r="Y121">
        <f t="shared" si="131"/>
        <v>0</v>
      </c>
      <c r="AA121">
        <v>55463412</v>
      </c>
      <c r="AB121">
        <f t="shared" si="132"/>
        <v>140.45</v>
      </c>
      <c r="AC121">
        <f t="shared" si="120"/>
        <v>140.45</v>
      </c>
      <c r="AD121">
        <f t="shared" si="162"/>
        <v>0</v>
      </c>
      <c r="AE121">
        <f t="shared" si="163"/>
        <v>0</v>
      </c>
      <c r="AF121">
        <f t="shared" si="163"/>
        <v>0</v>
      </c>
      <c r="AG121">
        <f t="shared" si="133"/>
        <v>0</v>
      </c>
      <c r="AH121">
        <f t="shared" si="164"/>
        <v>0</v>
      </c>
      <c r="AI121">
        <f t="shared" si="164"/>
        <v>0</v>
      </c>
      <c r="AJ121">
        <f t="shared" si="134"/>
        <v>0</v>
      </c>
      <c r="AK121">
        <v>140.45</v>
      </c>
      <c r="AL121">
        <v>140.45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112</v>
      </c>
      <c r="AU121">
        <v>65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</v>
      </c>
      <c r="BH121">
        <v>3</v>
      </c>
      <c r="BI121">
        <v>1</v>
      </c>
      <c r="BJ121" t="s">
        <v>247</v>
      </c>
      <c r="BM121">
        <v>11001</v>
      </c>
      <c r="BN121">
        <v>0</v>
      </c>
      <c r="BO121" t="s">
        <v>32</v>
      </c>
      <c r="BP121">
        <v>1</v>
      </c>
      <c r="BQ121">
        <v>2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112</v>
      </c>
      <c r="CA121">
        <v>65</v>
      </c>
      <c r="CE121">
        <v>0</v>
      </c>
      <c r="CF121">
        <v>0</v>
      </c>
      <c r="CG121">
        <v>0</v>
      </c>
      <c r="CM121">
        <v>0</v>
      </c>
      <c r="CO121">
        <v>0</v>
      </c>
      <c r="CP121">
        <f t="shared" si="135"/>
        <v>3244.4</v>
      </c>
      <c r="CQ121">
        <f t="shared" si="136"/>
        <v>140.45</v>
      </c>
      <c r="CR121">
        <f t="shared" si="165"/>
        <v>0</v>
      </c>
      <c r="CS121">
        <f t="shared" si="137"/>
        <v>0</v>
      </c>
      <c r="CT121">
        <f t="shared" si="138"/>
        <v>0</v>
      </c>
      <c r="CU121">
        <f t="shared" si="139"/>
        <v>0</v>
      </c>
      <c r="CV121">
        <f t="shared" si="140"/>
        <v>0</v>
      </c>
      <c r="CW121">
        <f t="shared" si="141"/>
        <v>0</v>
      </c>
      <c r="CX121">
        <f t="shared" si="142"/>
        <v>0</v>
      </c>
      <c r="CY121">
        <f t="shared" si="143"/>
        <v>0</v>
      </c>
      <c r="CZ121">
        <f t="shared" si="144"/>
        <v>0</v>
      </c>
      <c r="DN121">
        <v>0</v>
      </c>
      <c r="DO121">
        <v>0</v>
      </c>
      <c r="DP121">
        <v>1</v>
      </c>
      <c r="DQ121">
        <v>1</v>
      </c>
      <c r="DU121">
        <v>1005</v>
      </c>
      <c r="DV121" t="s">
        <v>165</v>
      </c>
      <c r="DW121" t="s">
        <v>165</v>
      </c>
      <c r="DX121">
        <v>1</v>
      </c>
      <c r="EE121">
        <v>55471663</v>
      </c>
      <c r="EF121">
        <v>2</v>
      </c>
      <c r="EG121" t="s">
        <v>60</v>
      </c>
      <c r="EH121">
        <v>11</v>
      </c>
      <c r="EI121" t="s">
        <v>28</v>
      </c>
      <c r="EJ121">
        <v>1</v>
      </c>
      <c r="EK121">
        <v>11001</v>
      </c>
      <c r="EL121" t="s">
        <v>28</v>
      </c>
      <c r="EM121" t="s">
        <v>146</v>
      </c>
      <c r="EQ121">
        <v>0</v>
      </c>
      <c r="ER121">
        <v>140.45</v>
      </c>
      <c r="ES121">
        <v>140.45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45"/>
        <v>0</v>
      </c>
      <c r="FS121">
        <v>0</v>
      </c>
      <c r="FX121">
        <v>112</v>
      </c>
      <c r="FY121">
        <v>65</v>
      </c>
      <c r="GD121">
        <v>1</v>
      </c>
      <c r="GF121">
        <v>-289686462</v>
      </c>
      <c r="GG121">
        <v>2</v>
      </c>
      <c r="GH121">
        <v>1</v>
      </c>
      <c r="GI121">
        <v>4</v>
      </c>
      <c r="GJ121">
        <v>0</v>
      </c>
      <c r="GK121">
        <v>0</v>
      </c>
      <c r="GL121">
        <f t="shared" si="146"/>
        <v>0</v>
      </c>
      <c r="GM121">
        <f t="shared" si="147"/>
        <v>3244.4</v>
      </c>
      <c r="GN121">
        <f t="shared" si="148"/>
        <v>3244.4</v>
      </c>
      <c r="GO121">
        <f t="shared" si="149"/>
        <v>0</v>
      </c>
      <c r="GP121">
        <f t="shared" si="150"/>
        <v>0</v>
      </c>
      <c r="GR121">
        <v>0</v>
      </c>
      <c r="GS121">
        <v>3</v>
      </c>
      <c r="GT121">
        <v>0</v>
      </c>
      <c r="GV121">
        <f t="shared" si="151"/>
        <v>0</v>
      </c>
      <c r="GW121">
        <v>1</v>
      </c>
      <c r="GX121">
        <f t="shared" si="152"/>
        <v>0</v>
      </c>
      <c r="HA121">
        <v>0</v>
      </c>
      <c r="HB121">
        <v>0</v>
      </c>
      <c r="HC121">
        <f t="shared" si="153"/>
        <v>0</v>
      </c>
      <c r="HI121">
        <f t="shared" si="154"/>
        <v>0</v>
      </c>
      <c r="HJ121">
        <f t="shared" si="155"/>
        <v>0</v>
      </c>
      <c r="HK121">
        <f t="shared" si="156"/>
        <v>0</v>
      </c>
      <c r="HL121">
        <f t="shared" si="157"/>
        <v>0</v>
      </c>
      <c r="HN121" t="s">
        <v>147</v>
      </c>
      <c r="HO121" t="s">
        <v>148</v>
      </c>
      <c r="HP121" t="s">
        <v>28</v>
      </c>
      <c r="HQ121" t="s">
        <v>28</v>
      </c>
      <c r="IK121">
        <v>0</v>
      </c>
    </row>
    <row r="122" spans="1:255" ht="12.75">
      <c r="A122" s="2">
        <v>18</v>
      </c>
      <c r="B122" s="2">
        <v>1</v>
      </c>
      <c r="C122" s="2">
        <v>148</v>
      </c>
      <c r="D122" s="2"/>
      <c r="E122" s="2" t="s">
        <v>248</v>
      </c>
      <c r="F122" s="2" t="s">
        <v>249</v>
      </c>
      <c r="G122" s="2" t="s">
        <v>250</v>
      </c>
      <c r="H122" s="2" t="s">
        <v>160</v>
      </c>
      <c r="I122" s="2">
        <f>I118*J122</f>
        <v>0.0022</v>
      </c>
      <c r="J122" s="2">
        <v>0.01</v>
      </c>
      <c r="K122" s="2">
        <v>0.01</v>
      </c>
      <c r="L122" s="2"/>
      <c r="M122" s="2"/>
      <c r="N122" s="2"/>
      <c r="O122" s="2">
        <f t="shared" si="121"/>
        <v>144.12</v>
      </c>
      <c r="P122" s="2">
        <f t="shared" si="122"/>
        <v>144.12</v>
      </c>
      <c r="Q122" s="2">
        <f t="shared" si="123"/>
        <v>0</v>
      </c>
      <c r="R122" s="2">
        <f t="shared" si="124"/>
        <v>0</v>
      </c>
      <c r="S122" s="2">
        <f t="shared" si="125"/>
        <v>0</v>
      </c>
      <c r="T122" s="2">
        <f t="shared" si="126"/>
        <v>0</v>
      </c>
      <c r="U122" s="2">
        <f t="shared" si="127"/>
        <v>0</v>
      </c>
      <c r="V122" s="2">
        <f t="shared" si="128"/>
        <v>0</v>
      </c>
      <c r="W122" s="2">
        <f t="shared" si="129"/>
        <v>0</v>
      </c>
      <c r="X122" s="2">
        <f t="shared" si="130"/>
        <v>0</v>
      </c>
      <c r="Y122" s="2">
        <f t="shared" si="131"/>
        <v>0</v>
      </c>
      <c r="Z122" s="2"/>
      <c r="AA122" s="2">
        <v>55463411</v>
      </c>
      <c r="AB122" s="2">
        <f t="shared" si="132"/>
        <v>65509.97</v>
      </c>
      <c r="AC122" s="2">
        <f t="shared" si="120"/>
        <v>65509.97</v>
      </c>
      <c r="AD122" s="2">
        <f t="shared" si="162"/>
        <v>0</v>
      </c>
      <c r="AE122" s="2">
        <f t="shared" si="163"/>
        <v>0</v>
      </c>
      <c r="AF122" s="2">
        <f t="shared" si="163"/>
        <v>0</v>
      </c>
      <c r="AG122" s="2">
        <f t="shared" si="133"/>
        <v>0</v>
      </c>
      <c r="AH122" s="2">
        <f t="shared" si="164"/>
        <v>0</v>
      </c>
      <c r="AI122" s="2">
        <f t="shared" si="164"/>
        <v>0</v>
      </c>
      <c r="AJ122" s="2">
        <f t="shared" si="134"/>
        <v>0</v>
      </c>
      <c r="AK122" s="2">
        <v>65509.97</v>
      </c>
      <c r="AL122" s="2">
        <v>65509.97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112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3</v>
      </c>
      <c r="BE122" s="2" t="s">
        <v>3</v>
      </c>
      <c r="BF122" s="2" t="s">
        <v>3</v>
      </c>
      <c r="BG122" s="2" t="s">
        <v>3</v>
      </c>
      <c r="BH122" s="2">
        <v>3</v>
      </c>
      <c r="BI122" s="2">
        <v>1</v>
      </c>
      <c r="BJ122" s="2" t="s">
        <v>251</v>
      </c>
      <c r="BK122" s="2"/>
      <c r="BL122" s="2"/>
      <c r="BM122" s="2">
        <v>11001</v>
      </c>
      <c r="BN122" s="2">
        <v>0</v>
      </c>
      <c r="BO122" s="2" t="s">
        <v>3</v>
      </c>
      <c r="BP122" s="2">
        <v>0</v>
      </c>
      <c r="BQ122" s="2">
        <v>2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3</v>
      </c>
      <c r="BZ122" s="2">
        <v>112</v>
      </c>
      <c r="CA122" s="2">
        <v>65</v>
      </c>
      <c r="CB122" s="2" t="s">
        <v>3</v>
      </c>
      <c r="CC122" s="2"/>
      <c r="CD122" s="2"/>
      <c r="CE122" s="2">
        <v>0</v>
      </c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3</v>
      </c>
      <c r="CO122" s="2">
        <v>0</v>
      </c>
      <c r="CP122" s="2">
        <f t="shared" si="135"/>
        <v>144.12</v>
      </c>
      <c r="CQ122" s="2">
        <f t="shared" si="136"/>
        <v>65509.97</v>
      </c>
      <c r="CR122" s="2">
        <f t="shared" si="165"/>
        <v>0</v>
      </c>
      <c r="CS122" s="2">
        <f t="shared" si="137"/>
        <v>0</v>
      </c>
      <c r="CT122" s="2">
        <f t="shared" si="138"/>
        <v>0</v>
      </c>
      <c r="CU122" s="2">
        <f t="shared" si="139"/>
        <v>0</v>
      </c>
      <c r="CV122" s="2">
        <f t="shared" si="140"/>
        <v>0</v>
      </c>
      <c r="CW122" s="2">
        <f t="shared" si="141"/>
        <v>0</v>
      </c>
      <c r="CX122" s="2">
        <f t="shared" si="142"/>
        <v>0</v>
      </c>
      <c r="CY122" s="2">
        <f t="shared" si="143"/>
        <v>0</v>
      </c>
      <c r="CZ122" s="2">
        <f t="shared" si="144"/>
        <v>0</v>
      </c>
      <c r="DA122" s="2"/>
      <c r="DB122" s="2"/>
      <c r="DC122" s="2" t="s">
        <v>3</v>
      </c>
      <c r="DD122" s="2" t="s">
        <v>3</v>
      </c>
      <c r="DE122" s="2" t="s">
        <v>3</v>
      </c>
      <c r="DF122" s="2" t="s">
        <v>3</v>
      </c>
      <c r="DG122" s="2" t="s">
        <v>3</v>
      </c>
      <c r="DH122" s="2" t="s">
        <v>3</v>
      </c>
      <c r="DI122" s="2" t="s">
        <v>3</v>
      </c>
      <c r="DJ122" s="2" t="s">
        <v>3</v>
      </c>
      <c r="DK122" s="2" t="s">
        <v>3</v>
      </c>
      <c r="DL122" s="2" t="s">
        <v>3</v>
      </c>
      <c r="DM122" s="2" t="s">
        <v>3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1007</v>
      </c>
      <c r="DV122" s="2" t="s">
        <v>160</v>
      </c>
      <c r="DW122" s="2" t="s">
        <v>160</v>
      </c>
      <c r="DX122" s="2">
        <v>1</v>
      </c>
      <c r="DY122" s="2"/>
      <c r="DZ122" s="2" t="s">
        <v>3</v>
      </c>
      <c r="EA122" s="2" t="s">
        <v>3</v>
      </c>
      <c r="EB122" s="2" t="s">
        <v>3</v>
      </c>
      <c r="EC122" s="2" t="s">
        <v>3</v>
      </c>
      <c r="ED122" s="2"/>
      <c r="EE122" s="2">
        <v>55471663</v>
      </c>
      <c r="EF122" s="2">
        <v>2</v>
      </c>
      <c r="EG122" s="2" t="s">
        <v>60</v>
      </c>
      <c r="EH122" s="2">
        <v>11</v>
      </c>
      <c r="EI122" s="2" t="s">
        <v>28</v>
      </c>
      <c r="EJ122" s="2">
        <v>1</v>
      </c>
      <c r="EK122" s="2">
        <v>11001</v>
      </c>
      <c r="EL122" s="2" t="s">
        <v>28</v>
      </c>
      <c r="EM122" s="2" t="s">
        <v>146</v>
      </c>
      <c r="EN122" s="2"/>
      <c r="EO122" s="2" t="s">
        <v>3</v>
      </c>
      <c r="EP122" s="2"/>
      <c r="EQ122" s="2">
        <v>0</v>
      </c>
      <c r="ER122" s="2">
        <v>65509.97</v>
      </c>
      <c r="ES122" s="2">
        <v>65509.97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45"/>
        <v>0</v>
      </c>
      <c r="FS122" s="2">
        <v>0</v>
      </c>
      <c r="FT122" s="2"/>
      <c r="FU122" s="2"/>
      <c r="FV122" s="2"/>
      <c r="FW122" s="2"/>
      <c r="FX122" s="2">
        <v>112</v>
      </c>
      <c r="FY122" s="2">
        <v>65</v>
      </c>
      <c r="FZ122" s="2"/>
      <c r="GA122" s="2" t="s">
        <v>3</v>
      </c>
      <c r="GB122" s="2"/>
      <c r="GC122" s="2"/>
      <c r="GD122" s="2">
        <v>1</v>
      </c>
      <c r="GE122" s="2"/>
      <c r="GF122" s="2">
        <v>541221097</v>
      </c>
      <c r="GG122" s="2">
        <v>2</v>
      </c>
      <c r="GH122" s="2">
        <v>1</v>
      </c>
      <c r="GI122" s="2">
        <v>-2</v>
      </c>
      <c r="GJ122" s="2">
        <v>0</v>
      </c>
      <c r="GK122" s="2">
        <v>0</v>
      </c>
      <c r="GL122" s="2">
        <f t="shared" si="146"/>
        <v>0</v>
      </c>
      <c r="GM122" s="2">
        <f t="shared" si="147"/>
        <v>144.12</v>
      </c>
      <c r="GN122" s="2">
        <f t="shared" si="148"/>
        <v>144.12</v>
      </c>
      <c r="GO122" s="2">
        <f t="shared" si="149"/>
        <v>0</v>
      </c>
      <c r="GP122" s="2">
        <f t="shared" si="150"/>
        <v>0</v>
      </c>
      <c r="GQ122" s="2"/>
      <c r="GR122" s="2">
        <v>0</v>
      </c>
      <c r="GS122" s="2">
        <v>3</v>
      </c>
      <c r="GT122" s="2">
        <v>0</v>
      </c>
      <c r="GU122" s="2" t="s">
        <v>3</v>
      </c>
      <c r="GV122" s="2">
        <f t="shared" si="151"/>
        <v>0</v>
      </c>
      <c r="GW122" s="2">
        <v>1</v>
      </c>
      <c r="GX122" s="2">
        <f t="shared" si="152"/>
        <v>0</v>
      </c>
      <c r="GY122" s="2"/>
      <c r="GZ122" s="2"/>
      <c r="HA122" s="2">
        <v>0</v>
      </c>
      <c r="HB122" s="2">
        <v>0</v>
      </c>
      <c r="HC122" s="2">
        <f t="shared" si="153"/>
        <v>0</v>
      </c>
      <c r="HD122" s="2"/>
      <c r="HE122" s="2" t="s">
        <v>3</v>
      </c>
      <c r="HF122" s="2" t="s">
        <v>3</v>
      </c>
      <c r="HG122" s="2"/>
      <c r="HH122" s="2"/>
      <c r="HI122" s="2">
        <f t="shared" si="154"/>
        <v>0</v>
      </c>
      <c r="HJ122" s="2">
        <f t="shared" si="155"/>
        <v>0</v>
      </c>
      <c r="HK122" s="2">
        <f t="shared" si="156"/>
        <v>0</v>
      </c>
      <c r="HL122" s="2">
        <f t="shared" si="157"/>
        <v>0</v>
      </c>
      <c r="HM122" s="2" t="s">
        <v>3</v>
      </c>
      <c r="HN122" s="2" t="s">
        <v>147</v>
      </c>
      <c r="HO122" s="2" t="s">
        <v>148</v>
      </c>
      <c r="HP122" s="2" t="s">
        <v>28</v>
      </c>
      <c r="HQ122" s="2" t="s">
        <v>28</v>
      </c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45" ht="12.75">
      <c r="A123">
        <v>18</v>
      </c>
      <c r="B123">
        <v>1</v>
      </c>
      <c r="C123">
        <v>160</v>
      </c>
      <c r="E123" t="s">
        <v>248</v>
      </c>
      <c r="F123" t="s">
        <v>249</v>
      </c>
      <c r="G123" t="s">
        <v>250</v>
      </c>
      <c r="H123" t="s">
        <v>160</v>
      </c>
      <c r="I123">
        <f>I119*J123</f>
        <v>0.0022</v>
      </c>
      <c r="J123">
        <v>0.01</v>
      </c>
      <c r="K123">
        <v>0.01</v>
      </c>
      <c r="O123">
        <f t="shared" si="121"/>
        <v>144.12</v>
      </c>
      <c r="P123">
        <f t="shared" si="122"/>
        <v>144.12</v>
      </c>
      <c r="Q123">
        <f t="shared" si="123"/>
        <v>0</v>
      </c>
      <c r="R123">
        <f t="shared" si="124"/>
        <v>0</v>
      </c>
      <c r="S123">
        <f t="shared" si="125"/>
        <v>0</v>
      </c>
      <c r="T123">
        <f t="shared" si="126"/>
        <v>0</v>
      </c>
      <c r="U123">
        <f t="shared" si="127"/>
        <v>0</v>
      </c>
      <c r="V123">
        <f t="shared" si="128"/>
        <v>0</v>
      </c>
      <c r="W123">
        <f t="shared" si="129"/>
        <v>0</v>
      </c>
      <c r="X123">
        <f t="shared" si="130"/>
        <v>0</v>
      </c>
      <c r="Y123">
        <f t="shared" si="131"/>
        <v>0</v>
      </c>
      <c r="AA123">
        <v>55463412</v>
      </c>
      <c r="AB123">
        <f t="shared" si="132"/>
        <v>65509.97</v>
      </c>
      <c r="AC123">
        <f t="shared" si="120"/>
        <v>65509.97</v>
      </c>
      <c r="AD123">
        <f t="shared" si="162"/>
        <v>0</v>
      </c>
      <c r="AE123">
        <f t="shared" si="163"/>
        <v>0</v>
      </c>
      <c r="AF123">
        <f t="shared" si="163"/>
        <v>0</v>
      </c>
      <c r="AG123">
        <f t="shared" si="133"/>
        <v>0</v>
      </c>
      <c r="AH123">
        <f t="shared" si="164"/>
        <v>0</v>
      </c>
      <c r="AI123">
        <f t="shared" si="164"/>
        <v>0</v>
      </c>
      <c r="AJ123">
        <f t="shared" si="134"/>
        <v>0</v>
      </c>
      <c r="AK123">
        <v>65509.97</v>
      </c>
      <c r="AL123">
        <v>65509.97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112</v>
      </c>
      <c r="AU123">
        <v>65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1</v>
      </c>
      <c r="BH123">
        <v>3</v>
      </c>
      <c r="BI123">
        <v>1</v>
      </c>
      <c r="BJ123" t="s">
        <v>251</v>
      </c>
      <c r="BM123">
        <v>11001</v>
      </c>
      <c r="BN123">
        <v>0</v>
      </c>
      <c r="BO123" t="s">
        <v>32</v>
      </c>
      <c r="BP123">
        <v>1</v>
      </c>
      <c r="BQ123">
        <v>2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112</v>
      </c>
      <c r="CA123">
        <v>65</v>
      </c>
      <c r="CE123">
        <v>0</v>
      </c>
      <c r="CF123">
        <v>0</v>
      </c>
      <c r="CG123">
        <v>0</v>
      </c>
      <c r="CM123">
        <v>0</v>
      </c>
      <c r="CO123">
        <v>0</v>
      </c>
      <c r="CP123">
        <f t="shared" si="135"/>
        <v>144.12</v>
      </c>
      <c r="CQ123">
        <f t="shared" si="136"/>
        <v>65509.97</v>
      </c>
      <c r="CR123">
        <f t="shared" si="165"/>
        <v>0</v>
      </c>
      <c r="CS123">
        <f t="shared" si="137"/>
        <v>0</v>
      </c>
      <c r="CT123">
        <f t="shared" si="138"/>
        <v>0</v>
      </c>
      <c r="CU123">
        <f t="shared" si="139"/>
        <v>0</v>
      </c>
      <c r="CV123">
        <f t="shared" si="140"/>
        <v>0</v>
      </c>
      <c r="CW123">
        <f t="shared" si="141"/>
        <v>0</v>
      </c>
      <c r="CX123">
        <f t="shared" si="142"/>
        <v>0</v>
      </c>
      <c r="CY123">
        <f t="shared" si="143"/>
        <v>0</v>
      </c>
      <c r="CZ123">
        <f t="shared" si="144"/>
        <v>0</v>
      </c>
      <c r="DN123">
        <v>0</v>
      </c>
      <c r="DO123">
        <v>0</v>
      </c>
      <c r="DP123">
        <v>1</v>
      </c>
      <c r="DQ123">
        <v>1</v>
      </c>
      <c r="DU123">
        <v>1007</v>
      </c>
      <c r="DV123" t="s">
        <v>160</v>
      </c>
      <c r="DW123" t="s">
        <v>160</v>
      </c>
      <c r="DX123">
        <v>1</v>
      </c>
      <c r="EE123">
        <v>55471663</v>
      </c>
      <c r="EF123">
        <v>2</v>
      </c>
      <c r="EG123" t="s">
        <v>60</v>
      </c>
      <c r="EH123">
        <v>11</v>
      </c>
      <c r="EI123" t="s">
        <v>28</v>
      </c>
      <c r="EJ123">
        <v>1</v>
      </c>
      <c r="EK123">
        <v>11001</v>
      </c>
      <c r="EL123" t="s">
        <v>28</v>
      </c>
      <c r="EM123" t="s">
        <v>146</v>
      </c>
      <c r="EQ123">
        <v>0</v>
      </c>
      <c r="ER123">
        <v>65509.97</v>
      </c>
      <c r="ES123">
        <v>65509.97</v>
      </c>
      <c r="ET123">
        <v>0</v>
      </c>
      <c r="EU123">
        <v>0</v>
      </c>
      <c r="EV123">
        <v>0</v>
      </c>
      <c r="EW123">
        <v>0</v>
      </c>
      <c r="EX123">
        <v>0</v>
      </c>
      <c r="FQ123">
        <v>0</v>
      </c>
      <c r="FR123">
        <f t="shared" si="145"/>
        <v>0</v>
      </c>
      <c r="FS123">
        <v>0</v>
      </c>
      <c r="FX123">
        <v>112</v>
      </c>
      <c r="FY123">
        <v>65</v>
      </c>
      <c r="GD123">
        <v>1</v>
      </c>
      <c r="GF123">
        <v>541221097</v>
      </c>
      <c r="GG123">
        <v>2</v>
      </c>
      <c r="GH123">
        <v>1</v>
      </c>
      <c r="GI123">
        <v>4</v>
      </c>
      <c r="GJ123">
        <v>0</v>
      </c>
      <c r="GK123">
        <v>0</v>
      </c>
      <c r="GL123">
        <f t="shared" si="146"/>
        <v>0</v>
      </c>
      <c r="GM123">
        <f t="shared" si="147"/>
        <v>144.12</v>
      </c>
      <c r="GN123">
        <f t="shared" si="148"/>
        <v>144.12</v>
      </c>
      <c r="GO123">
        <f t="shared" si="149"/>
        <v>0</v>
      </c>
      <c r="GP123">
        <f t="shared" si="150"/>
        <v>0</v>
      </c>
      <c r="GR123">
        <v>0</v>
      </c>
      <c r="GS123">
        <v>0</v>
      </c>
      <c r="GT123">
        <v>0</v>
      </c>
      <c r="GV123">
        <f t="shared" si="151"/>
        <v>0</v>
      </c>
      <c r="GW123">
        <v>1</v>
      </c>
      <c r="GX123">
        <f t="shared" si="152"/>
        <v>0</v>
      </c>
      <c r="HA123">
        <v>0</v>
      </c>
      <c r="HB123">
        <v>0</v>
      </c>
      <c r="HC123">
        <f t="shared" si="153"/>
        <v>0</v>
      </c>
      <c r="HI123">
        <f t="shared" si="154"/>
        <v>0</v>
      </c>
      <c r="HJ123">
        <f t="shared" si="155"/>
        <v>0</v>
      </c>
      <c r="HK123">
        <f t="shared" si="156"/>
        <v>0</v>
      </c>
      <c r="HL123">
        <f t="shared" si="157"/>
        <v>0</v>
      </c>
      <c r="HN123" t="s">
        <v>147</v>
      </c>
      <c r="HO123" t="s">
        <v>148</v>
      </c>
      <c r="HP123" t="s">
        <v>28</v>
      </c>
      <c r="HQ123" t="s">
        <v>28</v>
      </c>
      <c r="IK123">
        <v>0</v>
      </c>
    </row>
    <row r="124" spans="1:255" ht="12.75">
      <c r="A124" s="2">
        <v>18</v>
      </c>
      <c r="B124" s="2">
        <v>1</v>
      </c>
      <c r="C124" s="2">
        <v>149</v>
      </c>
      <c r="D124" s="2"/>
      <c r="E124" s="2" t="s">
        <v>252</v>
      </c>
      <c r="F124" s="2" t="s">
        <v>253</v>
      </c>
      <c r="G124" s="2" t="s">
        <v>254</v>
      </c>
      <c r="H124" s="2" t="s">
        <v>36</v>
      </c>
      <c r="I124" s="2">
        <f>I118*J124</f>
        <v>0.264</v>
      </c>
      <c r="J124" s="2">
        <v>1.2</v>
      </c>
      <c r="K124" s="2">
        <v>1.2</v>
      </c>
      <c r="L124" s="2"/>
      <c r="M124" s="2"/>
      <c r="N124" s="2"/>
      <c r="O124" s="2">
        <f t="shared" si="121"/>
        <v>770.73</v>
      </c>
      <c r="P124" s="2">
        <f t="shared" si="122"/>
        <v>770.73</v>
      </c>
      <c r="Q124" s="2">
        <f t="shared" si="123"/>
        <v>0</v>
      </c>
      <c r="R124" s="2">
        <f t="shared" si="124"/>
        <v>0</v>
      </c>
      <c r="S124" s="2">
        <f t="shared" si="125"/>
        <v>0</v>
      </c>
      <c r="T124" s="2">
        <f t="shared" si="126"/>
        <v>0</v>
      </c>
      <c r="U124" s="2">
        <f t="shared" si="127"/>
        <v>0</v>
      </c>
      <c r="V124" s="2">
        <f t="shared" si="128"/>
        <v>0</v>
      </c>
      <c r="W124" s="2">
        <f t="shared" si="129"/>
        <v>0</v>
      </c>
      <c r="X124" s="2">
        <f t="shared" si="130"/>
        <v>0</v>
      </c>
      <c r="Y124" s="2">
        <f t="shared" si="131"/>
        <v>0</v>
      </c>
      <c r="Z124" s="2"/>
      <c r="AA124" s="2">
        <v>55463411</v>
      </c>
      <c r="AB124" s="2">
        <f t="shared" si="132"/>
        <v>2919.43</v>
      </c>
      <c r="AC124" s="2">
        <f t="shared" si="120"/>
        <v>2919.43</v>
      </c>
      <c r="AD124" s="2">
        <f t="shared" si="162"/>
        <v>0</v>
      </c>
      <c r="AE124" s="2">
        <f t="shared" si="163"/>
        <v>0</v>
      </c>
      <c r="AF124" s="2">
        <f t="shared" si="163"/>
        <v>0</v>
      </c>
      <c r="AG124" s="2">
        <f t="shared" si="133"/>
        <v>0</v>
      </c>
      <c r="AH124" s="2">
        <f t="shared" si="164"/>
        <v>0</v>
      </c>
      <c r="AI124" s="2">
        <f t="shared" si="164"/>
        <v>0</v>
      </c>
      <c r="AJ124" s="2">
        <f t="shared" si="134"/>
        <v>0</v>
      </c>
      <c r="AK124" s="2">
        <v>2919.43</v>
      </c>
      <c r="AL124" s="2">
        <v>2919.43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112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3</v>
      </c>
      <c r="BE124" s="2" t="s">
        <v>3</v>
      </c>
      <c r="BF124" s="2" t="s">
        <v>3</v>
      </c>
      <c r="BG124" s="2" t="s">
        <v>3</v>
      </c>
      <c r="BH124" s="2">
        <v>3</v>
      </c>
      <c r="BI124" s="2">
        <v>1</v>
      </c>
      <c r="BJ124" s="2" t="s">
        <v>255</v>
      </c>
      <c r="BK124" s="2"/>
      <c r="BL124" s="2"/>
      <c r="BM124" s="2">
        <v>11001</v>
      </c>
      <c r="BN124" s="2">
        <v>0</v>
      </c>
      <c r="BO124" s="2" t="s">
        <v>3</v>
      </c>
      <c r="BP124" s="2">
        <v>0</v>
      </c>
      <c r="BQ124" s="2">
        <v>2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3</v>
      </c>
      <c r="BZ124" s="2">
        <v>112</v>
      </c>
      <c r="CA124" s="2">
        <v>65</v>
      </c>
      <c r="CB124" s="2" t="s">
        <v>3</v>
      </c>
      <c r="CC124" s="2"/>
      <c r="CD124" s="2"/>
      <c r="CE124" s="2">
        <v>0</v>
      </c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3</v>
      </c>
      <c r="CO124" s="2">
        <v>0</v>
      </c>
      <c r="CP124" s="2">
        <f t="shared" si="135"/>
        <v>770.73</v>
      </c>
      <c r="CQ124" s="2">
        <f t="shared" si="136"/>
        <v>2919.43</v>
      </c>
      <c r="CR124" s="2">
        <f t="shared" si="165"/>
        <v>0</v>
      </c>
      <c r="CS124" s="2">
        <f t="shared" si="137"/>
        <v>0</v>
      </c>
      <c r="CT124" s="2">
        <f t="shared" si="138"/>
        <v>0</v>
      </c>
      <c r="CU124" s="2">
        <f t="shared" si="139"/>
        <v>0</v>
      </c>
      <c r="CV124" s="2">
        <f t="shared" si="140"/>
        <v>0</v>
      </c>
      <c r="CW124" s="2">
        <f t="shared" si="141"/>
        <v>0</v>
      </c>
      <c r="CX124" s="2">
        <f t="shared" si="142"/>
        <v>0</v>
      </c>
      <c r="CY124" s="2">
        <f t="shared" si="143"/>
        <v>0</v>
      </c>
      <c r="CZ124" s="2">
        <f t="shared" si="144"/>
        <v>0</v>
      </c>
      <c r="DA124" s="2"/>
      <c r="DB124" s="2"/>
      <c r="DC124" s="2" t="s">
        <v>3</v>
      </c>
      <c r="DD124" s="2" t="s">
        <v>3</v>
      </c>
      <c r="DE124" s="2" t="s">
        <v>3</v>
      </c>
      <c r="DF124" s="2" t="s">
        <v>3</v>
      </c>
      <c r="DG124" s="2" t="s">
        <v>3</v>
      </c>
      <c r="DH124" s="2" t="s">
        <v>3</v>
      </c>
      <c r="DI124" s="2" t="s">
        <v>3</v>
      </c>
      <c r="DJ124" s="2" t="s">
        <v>3</v>
      </c>
      <c r="DK124" s="2" t="s">
        <v>3</v>
      </c>
      <c r="DL124" s="2" t="s">
        <v>3</v>
      </c>
      <c r="DM124" s="2" t="s">
        <v>3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1009</v>
      </c>
      <c r="DV124" s="2" t="s">
        <v>36</v>
      </c>
      <c r="DW124" s="2" t="s">
        <v>36</v>
      </c>
      <c r="DX124" s="2">
        <v>1000</v>
      </c>
      <c r="DY124" s="2"/>
      <c r="DZ124" s="2" t="s">
        <v>3</v>
      </c>
      <c r="EA124" s="2" t="s">
        <v>3</v>
      </c>
      <c r="EB124" s="2" t="s">
        <v>3</v>
      </c>
      <c r="EC124" s="2" t="s">
        <v>3</v>
      </c>
      <c r="ED124" s="2"/>
      <c r="EE124" s="2">
        <v>55471663</v>
      </c>
      <c r="EF124" s="2">
        <v>2</v>
      </c>
      <c r="EG124" s="2" t="s">
        <v>60</v>
      </c>
      <c r="EH124" s="2">
        <v>11</v>
      </c>
      <c r="EI124" s="2" t="s">
        <v>28</v>
      </c>
      <c r="EJ124" s="2">
        <v>1</v>
      </c>
      <c r="EK124" s="2">
        <v>11001</v>
      </c>
      <c r="EL124" s="2" t="s">
        <v>28</v>
      </c>
      <c r="EM124" s="2" t="s">
        <v>146</v>
      </c>
      <c r="EN124" s="2"/>
      <c r="EO124" s="2" t="s">
        <v>3</v>
      </c>
      <c r="EP124" s="2"/>
      <c r="EQ124" s="2">
        <v>0</v>
      </c>
      <c r="ER124" s="2">
        <v>2919.43</v>
      </c>
      <c r="ES124" s="2">
        <v>2919.43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45"/>
        <v>0</v>
      </c>
      <c r="FS124" s="2">
        <v>0</v>
      </c>
      <c r="FT124" s="2"/>
      <c r="FU124" s="2"/>
      <c r="FV124" s="2"/>
      <c r="FW124" s="2"/>
      <c r="FX124" s="2">
        <v>112</v>
      </c>
      <c r="FY124" s="2">
        <v>65</v>
      </c>
      <c r="FZ124" s="2"/>
      <c r="GA124" s="2" t="s">
        <v>3</v>
      </c>
      <c r="GB124" s="2"/>
      <c r="GC124" s="2"/>
      <c r="GD124" s="2">
        <v>1</v>
      </c>
      <c r="GE124" s="2"/>
      <c r="GF124" s="2">
        <v>1025007605</v>
      </c>
      <c r="GG124" s="2">
        <v>2</v>
      </c>
      <c r="GH124" s="2">
        <v>1</v>
      </c>
      <c r="GI124" s="2">
        <v>-2</v>
      </c>
      <c r="GJ124" s="2">
        <v>0</v>
      </c>
      <c r="GK124" s="2">
        <v>0</v>
      </c>
      <c r="GL124" s="2">
        <f t="shared" si="146"/>
        <v>0</v>
      </c>
      <c r="GM124" s="2">
        <f t="shared" si="147"/>
        <v>770.73</v>
      </c>
      <c r="GN124" s="2">
        <f t="shared" si="148"/>
        <v>770.73</v>
      </c>
      <c r="GO124" s="2">
        <f t="shared" si="149"/>
        <v>0</v>
      </c>
      <c r="GP124" s="2">
        <f t="shared" si="150"/>
        <v>0</v>
      </c>
      <c r="GQ124" s="2"/>
      <c r="GR124" s="2">
        <v>0</v>
      </c>
      <c r="GS124" s="2">
        <v>3</v>
      </c>
      <c r="GT124" s="2">
        <v>0</v>
      </c>
      <c r="GU124" s="2" t="s">
        <v>3</v>
      </c>
      <c r="GV124" s="2">
        <f t="shared" si="151"/>
        <v>0</v>
      </c>
      <c r="GW124" s="2">
        <v>1</v>
      </c>
      <c r="GX124" s="2">
        <f t="shared" si="152"/>
        <v>0</v>
      </c>
      <c r="GY124" s="2"/>
      <c r="GZ124" s="2"/>
      <c r="HA124" s="2">
        <v>0</v>
      </c>
      <c r="HB124" s="2">
        <v>0</v>
      </c>
      <c r="HC124" s="2">
        <f t="shared" si="153"/>
        <v>0</v>
      </c>
      <c r="HD124" s="2"/>
      <c r="HE124" s="2" t="s">
        <v>3</v>
      </c>
      <c r="HF124" s="2" t="s">
        <v>3</v>
      </c>
      <c r="HG124" s="2"/>
      <c r="HH124" s="2"/>
      <c r="HI124" s="2">
        <f t="shared" si="154"/>
        <v>0</v>
      </c>
      <c r="HJ124" s="2">
        <f t="shared" si="155"/>
        <v>0</v>
      </c>
      <c r="HK124" s="2">
        <f t="shared" si="156"/>
        <v>0</v>
      </c>
      <c r="HL124" s="2">
        <f t="shared" si="157"/>
        <v>0</v>
      </c>
      <c r="HM124" s="2" t="s">
        <v>3</v>
      </c>
      <c r="HN124" s="2" t="s">
        <v>147</v>
      </c>
      <c r="HO124" s="2" t="s">
        <v>148</v>
      </c>
      <c r="HP124" s="2" t="s">
        <v>28</v>
      </c>
      <c r="HQ124" s="2" t="s">
        <v>28</v>
      </c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45" ht="12.75">
      <c r="A125">
        <v>18</v>
      </c>
      <c r="B125">
        <v>1</v>
      </c>
      <c r="C125">
        <v>161</v>
      </c>
      <c r="E125" t="s">
        <v>252</v>
      </c>
      <c r="F125" t="s">
        <v>253</v>
      </c>
      <c r="G125" t="s">
        <v>254</v>
      </c>
      <c r="H125" t="s">
        <v>36</v>
      </c>
      <c r="I125">
        <f>I119*J125</f>
        <v>0.264</v>
      </c>
      <c r="J125">
        <v>1.2</v>
      </c>
      <c r="K125">
        <v>1.2</v>
      </c>
      <c r="O125">
        <f t="shared" si="121"/>
        <v>770.73</v>
      </c>
      <c r="P125">
        <f t="shared" si="122"/>
        <v>770.73</v>
      </c>
      <c r="Q125">
        <f t="shared" si="123"/>
        <v>0</v>
      </c>
      <c r="R125">
        <f t="shared" si="124"/>
        <v>0</v>
      </c>
      <c r="S125">
        <f t="shared" si="125"/>
        <v>0</v>
      </c>
      <c r="T125">
        <f t="shared" si="126"/>
        <v>0</v>
      </c>
      <c r="U125">
        <f t="shared" si="127"/>
        <v>0</v>
      </c>
      <c r="V125">
        <f t="shared" si="128"/>
        <v>0</v>
      </c>
      <c r="W125">
        <f t="shared" si="129"/>
        <v>0</v>
      </c>
      <c r="X125">
        <f t="shared" si="130"/>
        <v>0</v>
      </c>
      <c r="Y125">
        <f t="shared" si="131"/>
        <v>0</v>
      </c>
      <c r="AA125">
        <v>55463412</v>
      </c>
      <c r="AB125">
        <f t="shared" si="132"/>
        <v>2919.43</v>
      </c>
      <c r="AC125">
        <f t="shared" si="120"/>
        <v>2919.43</v>
      </c>
      <c r="AD125">
        <f t="shared" si="162"/>
        <v>0</v>
      </c>
      <c r="AE125">
        <f t="shared" si="163"/>
        <v>0</v>
      </c>
      <c r="AF125">
        <f t="shared" si="163"/>
        <v>0</v>
      </c>
      <c r="AG125">
        <f t="shared" si="133"/>
        <v>0</v>
      </c>
      <c r="AH125">
        <f t="shared" si="164"/>
        <v>0</v>
      </c>
      <c r="AI125">
        <f t="shared" si="164"/>
        <v>0</v>
      </c>
      <c r="AJ125">
        <f t="shared" si="134"/>
        <v>0</v>
      </c>
      <c r="AK125">
        <v>2919.43</v>
      </c>
      <c r="AL125">
        <v>2919.43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112</v>
      </c>
      <c r="AU125">
        <v>65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1</v>
      </c>
      <c r="BH125">
        <v>3</v>
      </c>
      <c r="BI125">
        <v>1</v>
      </c>
      <c r="BJ125" t="s">
        <v>255</v>
      </c>
      <c r="BM125">
        <v>11001</v>
      </c>
      <c r="BN125">
        <v>0</v>
      </c>
      <c r="BO125" t="s">
        <v>32</v>
      </c>
      <c r="BP125">
        <v>1</v>
      </c>
      <c r="BQ125">
        <v>2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112</v>
      </c>
      <c r="CA125">
        <v>65</v>
      </c>
      <c r="CE125">
        <v>0</v>
      </c>
      <c r="CF125">
        <v>0</v>
      </c>
      <c r="CG125">
        <v>0</v>
      </c>
      <c r="CM125">
        <v>0</v>
      </c>
      <c r="CO125">
        <v>0</v>
      </c>
      <c r="CP125">
        <f t="shared" si="135"/>
        <v>770.73</v>
      </c>
      <c r="CQ125">
        <f t="shared" si="136"/>
        <v>2919.43</v>
      </c>
      <c r="CR125">
        <f t="shared" si="165"/>
        <v>0</v>
      </c>
      <c r="CS125">
        <f t="shared" si="137"/>
        <v>0</v>
      </c>
      <c r="CT125">
        <f t="shared" si="138"/>
        <v>0</v>
      </c>
      <c r="CU125">
        <f t="shared" si="139"/>
        <v>0</v>
      </c>
      <c r="CV125">
        <f t="shared" si="140"/>
        <v>0</v>
      </c>
      <c r="CW125">
        <f t="shared" si="141"/>
        <v>0</v>
      </c>
      <c r="CX125">
        <f t="shared" si="142"/>
        <v>0</v>
      </c>
      <c r="CY125">
        <f t="shared" si="143"/>
        <v>0</v>
      </c>
      <c r="CZ125">
        <f t="shared" si="144"/>
        <v>0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36</v>
      </c>
      <c r="DW125" t="s">
        <v>36</v>
      </c>
      <c r="DX125">
        <v>1000</v>
      </c>
      <c r="EE125">
        <v>55471663</v>
      </c>
      <c r="EF125">
        <v>2</v>
      </c>
      <c r="EG125" t="s">
        <v>60</v>
      </c>
      <c r="EH125">
        <v>11</v>
      </c>
      <c r="EI125" t="s">
        <v>28</v>
      </c>
      <c r="EJ125">
        <v>1</v>
      </c>
      <c r="EK125">
        <v>11001</v>
      </c>
      <c r="EL125" t="s">
        <v>28</v>
      </c>
      <c r="EM125" t="s">
        <v>146</v>
      </c>
      <c r="EQ125">
        <v>0</v>
      </c>
      <c r="ER125">
        <v>2919.43</v>
      </c>
      <c r="ES125">
        <v>2919.43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45"/>
        <v>0</v>
      </c>
      <c r="FS125">
        <v>0</v>
      </c>
      <c r="FX125">
        <v>112</v>
      </c>
      <c r="FY125">
        <v>65</v>
      </c>
      <c r="GD125">
        <v>1</v>
      </c>
      <c r="GF125">
        <v>1025007605</v>
      </c>
      <c r="GG125">
        <v>2</v>
      </c>
      <c r="GH125">
        <v>1</v>
      </c>
      <c r="GI125">
        <v>4</v>
      </c>
      <c r="GJ125">
        <v>0</v>
      </c>
      <c r="GK125">
        <v>0</v>
      </c>
      <c r="GL125">
        <f t="shared" si="146"/>
        <v>0</v>
      </c>
      <c r="GM125">
        <f t="shared" si="147"/>
        <v>770.73</v>
      </c>
      <c r="GN125">
        <f t="shared" si="148"/>
        <v>770.73</v>
      </c>
      <c r="GO125">
        <f t="shared" si="149"/>
        <v>0</v>
      </c>
      <c r="GP125">
        <f t="shared" si="150"/>
        <v>0</v>
      </c>
      <c r="GR125">
        <v>0</v>
      </c>
      <c r="GS125">
        <v>0</v>
      </c>
      <c r="GT125">
        <v>0</v>
      </c>
      <c r="GV125">
        <f t="shared" si="151"/>
        <v>0</v>
      </c>
      <c r="GW125">
        <v>1</v>
      </c>
      <c r="GX125">
        <f t="shared" si="152"/>
        <v>0</v>
      </c>
      <c r="HA125">
        <v>0</v>
      </c>
      <c r="HB125">
        <v>0</v>
      </c>
      <c r="HC125">
        <f t="shared" si="153"/>
        <v>0</v>
      </c>
      <c r="HI125">
        <f t="shared" si="154"/>
        <v>0</v>
      </c>
      <c r="HJ125">
        <f t="shared" si="155"/>
        <v>0</v>
      </c>
      <c r="HK125">
        <f t="shared" si="156"/>
        <v>0</v>
      </c>
      <c r="HL125">
        <f t="shared" si="157"/>
        <v>0</v>
      </c>
      <c r="HN125" t="s">
        <v>147</v>
      </c>
      <c r="HO125" t="s">
        <v>148</v>
      </c>
      <c r="HP125" t="s">
        <v>28</v>
      </c>
      <c r="HQ125" t="s">
        <v>28</v>
      </c>
      <c r="IK125">
        <v>0</v>
      </c>
    </row>
    <row r="126" spans="1:255" ht="12.75">
      <c r="A126" s="2">
        <v>18</v>
      </c>
      <c r="B126" s="2">
        <v>1</v>
      </c>
      <c r="C126" s="2">
        <v>150</v>
      </c>
      <c r="D126" s="2"/>
      <c r="E126" s="2" t="s">
        <v>256</v>
      </c>
      <c r="F126" s="2" t="s">
        <v>257</v>
      </c>
      <c r="G126" s="2" t="s">
        <v>258</v>
      </c>
      <c r="H126" s="2" t="s">
        <v>194</v>
      </c>
      <c r="I126" s="2">
        <f>I118*J126</f>
        <v>4.5</v>
      </c>
      <c r="J126" s="2">
        <v>20.454545454545453</v>
      </c>
      <c r="K126" s="2">
        <v>20.454545</v>
      </c>
      <c r="L126" s="2"/>
      <c r="M126" s="2"/>
      <c r="N126" s="2"/>
      <c r="O126" s="2">
        <f t="shared" si="121"/>
        <v>58.86</v>
      </c>
      <c r="P126" s="2">
        <f t="shared" si="122"/>
        <v>58.86</v>
      </c>
      <c r="Q126" s="2">
        <f t="shared" si="123"/>
        <v>0</v>
      </c>
      <c r="R126" s="2">
        <f t="shared" si="124"/>
        <v>0</v>
      </c>
      <c r="S126" s="2">
        <f t="shared" si="125"/>
        <v>0</v>
      </c>
      <c r="T126" s="2">
        <f t="shared" si="126"/>
        <v>0</v>
      </c>
      <c r="U126" s="2">
        <f t="shared" si="127"/>
        <v>0</v>
      </c>
      <c r="V126" s="2">
        <f t="shared" si="128"/>
        <v>0</v>
      </c>
      <c r="W126" s="2">
        <f t="shared" si="129"/>
        <v>0</v>
      </c>
      <c r="X126" s="2">
        <f t="shared" si="130"/>
        <v>0</v>
      </c>
      <c r="Y126" s="2">
        <f t="shared" si="131"/>
        <v>0</v>
      </c>
      <c r="Z126" s="2"/>
      <c r="AA126" s="2">
        <v>55463411</v>
      </c>
      <c r="AB126" s="2">
        <f t="shared" si="132"/>
        <v>13.08</v>
      </c>
      <c r="AC126" s="2">
        <f t="shared" si="120"/>
        <v>13.08</v>
      </c>
      <c r="AD126" s="2">
        <f t="shared" si="162"/>
        <v>0</v>
      </c>
      <c r="AE126" s="2">
        <f t="shared" si="163"/>
        <v>0</v>
      </c>
      <c r="AF126" s="2">
        <f t="shared" si="163"/>
        <v>0</v>
      </c>
      <c r="AG126" s="2">
        <f t="shared" si="133"/>
        <v>0</v>
      </c>
      <c r="AH126" s="2">
        <f t="shared" si="164"/>
        <v>0</v>
      </c>
      <c r="AI126" s="2">
        <f t="shared" si="164"/>
        <v>0</v>
      </c>
      <c r="AJ126" s="2">
        <f t="shared" si="134"/>
        <v>0</v>
      </c>
      <c r="AK126" s="2">
        <v>13.08</v>
      </c>
      <c r="AL126" s="2">
        <v>13.08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112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3</v>
      </c>
      <c r="BE126" s="2" t="s">
        <v>3</v>
      </c>
      <c r="BF126" s="2" t="s">
        <v>3</v>
      </c>
      <c r="BG126" s="2" t="s">
        <v>3</v>
      </c>
      <c r="BH126" s="2">
        <v>3</v>
      </c>
      <c r="BI126" s="2">
        <v>1</v>
      </c>
      <c r="BJ126" s="2" t="s">
        <v>259</v>
      </c>
      <c r="BK126" s="2"/>
      <c r="BL126" s="2"/>
      <c r="BM126" s="2">
        <v>11001</v>
      </c>
      <c r="BN126" s="2">
        <v>0</v>
      </c>
      <c r="BO126" s="2" t="s">
        <v>3</v>
      </c>
      <c r="BP126" s="2">
        <v>0</v>
      </c>
      <c r="BQ126" s="2">
        <v>2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3</v>
      </c>
      <c r="BZ126" s="2">
        <v>112</v>
      </c>
      <c r="CA126" s="2">
        <v>65</v>
      </c>
      <c r="CB126" s="2" t="s">
        <v>3</v>
      </c>
      <c r="CC126" s="2"/>
      <c r="CD126" s="2"/>
      <c r="CE126" s="2">
        <v>0</v>
      </c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3</v>
      </c>
      <c r="CO126" s="2">
        <v>0</v>
      </c>
      <c r="CP126" s="2">
        <f t="shared" si="135"/>
        <v>58.86</v>
      </c>
      <c r="CQ126" s="2">
        <f t="shared" si="136"/>
        <v>13.08</v>
      </c>
      <c r="CR126" s="2">
        <f t="shared" si="165"/>
        <v>0</v>
      </c>
      <c r="CS126" s="2">
        <f t="shared" si="137"/>
        <v>0</v>
      </c>
      <c r="CT126" s="2">
        <f t="shared" si="138"/>
        <v>0</v>
      </c>
      <c r="CU126" s="2">
        <f t="shared" si="139"/>
        <v>0</v>
      </c>
      <c r="CV126" s="2">
        <f t="shared" si="140"/>
        <v>0</v>
      </c>
      <c r="CW126" s="2">
        <f t="shared" si="141"/>
        <v>0</v>
      </c>
      <c r="CX126" s="2">
        <f t="shared" si="142"/>
        <v>0</v>
      </c>
      <c r="CY126" s="2">
        <f t="shared" si="143"/>
        <v>0</v>
      </c>
      <c r="CZ126" s="2">
        <f t="shared" si="144"/>
        <v>0</v>
      </c>
      <c r="DA126" s="2"/>
      <c r="DB126" s="2"/>
      <c r="DC126" s="2" t="s">
        <v>3</v>
      </c>
      <c r="DD126" s="2" t="s">
        <v>3</v>
      </c>
      <c r="DE126" s="2" t="s">
        <v>3</v>
      </c>
      <c r="DF126" s="2" t="s">
        <v>3</v>
      </c>
      <c r="DG126" s="2" t="s">
        <v>3</v>
      </c>
      <c r="DH126" s="2" t="s">
        <v>3</v>
      </c>
      <c r="DI126" s="2" t="s">
        <v>3</v>
      </c>
      <c r="DJ126" s="2" t="s">
        <v>3</v>
      </c>
      <c r="DK126" s="2" t="s">
        <v>3</v>
      </c>
      <c r="DL126" s="2" t="s">
        <v>3</v>
      </c>
      <c r="DM126" s="2" t="s">
        <v>3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1009</v>
      </c>
      <c r="DV126" s="2" t="s">
        <v>194</v>
      </c>
      <c r="DW126" s="2" t="s">
        <v>194</v>
      </c>
      <c r="DX126" s="2">
        <v>1</v>
      </c>
      <c r="DY126" s="2"/>
      <c r="DZ126" s="2" t="s">
        <v>3</v>
      </c>
      <c r="EA126" s="2" t="s">
        <v>3</v>
      </c>
      <c r="EB126" s="2" t="s">
        <v>3</v>
      </c>
      <c r="EC126" s="2" t="s">
        <v>3</v>
      </c>
      <c r="ED126" s="2"/>
      <c r="EE126" s="2">
        <v>55471663</v>
      </c>
      <c r="EF126" s="2">
        <v>2</v>
      </c>
      <c r="EG126" s="2" t="s">
        <v>60</v>
      </c>
      <c r="EH126" s="2">
        <v>11</v>
      </c>
      <c r="EI126" s="2" t="s">
        <v>28</v>
      </c>
      <c r="EJ126" s="2">
        <v>1</v>
      </c>
      <c r="EK126" s="2">
        <v>11001</v>
      </c>
      <c r="EL126" s="2" t="s">
        <v>28</v>
      </c>
      <c r="EM126" s="2" t="s">
        <v>146</v>
      </c>
      <c r="EN126" s="2"/>
      <c r="EO126" s="2" t="s">
        <v>3</v>
      </c>
      <c r="EP126" s="2"/>
      <c r="EQ126" s="2">
        <v>0</v>
      </c>
      <c r="ER126" s="2">
        <v>13.08</v>
      </c>
      <c r="ES126" s="2">
        <v>13.08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45"/>
        <v>0</v>
      </c>
      <c r="FS126" s="2">
        <v>0</v>
      </c>
      <c r="FT126" s="2"/>
      <c r="FU126" s="2"/>
      <c r="FV126" s="2"/>
      <c r="FW126" s="2"/>
      <c r="FX126" s="2">
        <v>112</v>
      </c>
      <c r="FY126" s="2">
        <v>65</v>
      </c>
      <c r="FZ126" s="2"/>
      <c r="GA126" s="2" t="s">
        <v>3</v>
      </c>
      <c r="GB126" s="2"/>
      <c r="GC126" s="2"/>
      <c r="GD126" s="2">
        <v>1</v>
      </c>
      <c r="GE126" s="2"/>
      <c r="GF126" s="2">
        <v>-1209026283</v>
      </c>
      <c r="GG126" s="2">
        <v>2</v>
      </c>
      <c r="GH126" s="2">
        <v>1</v>
      </c>
      <c r="GI126" s="2">
        <v>-2</v>
      </c>
      <c r="GJ126" s="2">
        <v>0</v>
      </c>
      <c r="GK126" s="2">
        <v>0</v>
      </c>
      <c r="GL126" s="2">
        <f t="shared" si="146"/>
        <v>0</v>
      </c>
      <c r="GM126" s="2">
        <f t="shared" si="147"/>
        <v>58.86</v>
      </c>
      <c r="GN126" s="2">
        <f t="shared" si="148"/>
        <v>58.86</v>
      </c>
      <c r="GO126" s="2">
        <f t="shared" si="149"/>
        <v>0</v>
      </c>
      <c r="GP126" s="2">
        <f t="shared" si="150"/>
        <v>0</v>
      </c>
      <c r="GQ126" s="2"/>
      <c r="GR126" s="2">
        <v>0</v>
      </c>
      <c r="GS126" s="2">
        <v>3</v>
      </c>
      <c r="GT126" s="2">
        <v>0</v>
      </c>
      <c r="GU126" s="2" t="s">
        <v>3</v>
      </c>
      <c r="GV126" s="2">
        <f t="shared" si="151"/>
        <v>0</v>
      </c>
      <c r="GW126" s="2">
        <v>1</v>
      </c>
      <c r="GX126" s="2">
        <f t="shared" si="152"/>
        <v>0</v>
      </c>
      <c r="GY126" s="2"/>
      <c r="GZ126" s="2"/>
      <c r="HA126" s="2">
        <v>0</v>
      </c>
      <c r="HB126" s="2">
        <v>0</v>
      </c>
      <c r="HC126" s="2">
        <f t="shared" si="153"/>
        <v>0</v>
      </c>
      <c r="HD126" s="2"/>
      <c r="HE126" s="2" t="s">
        <v>3</v>
      </c>
      <c r="HF126" s="2" t="s">
        <v>3</v>
      </c>
      <c r="HG126" s="2"/>
      <c r="HH126" s="2"/>
      <c r="HI126" s="2">
        <f t="shared" si="154"/>
        <v>0</v>
      </c>
      <c r="HJ126" s="2">
        <f t="shared" si="155"/>
        <v>0</v>
      </c>
      <c r="HK126" s="2">
        <f t="shared" si="156"/>
        <v>0</v>
      </c>
      <c r="HL126" s="2">
        <f t="shared" si="157"/>
        <v>0</v>
      </c>
      <c r="HM126" s="2" t="s">
        <v>3</v>
      </c>
      <c r="HN126" s="2" t="s">
        <v>147</v>
      </c>
      <c r="HO126" s="2" t="s">
        <v>148</v>
      </c>
      <c r="HP126" s="2" t="s">
        <v>28</v>
      </c>
      <c r="HQ126" s="2" t="s">
        <v>28</v>
      </c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45" ht="12.75">
      <c r="A127">
        <v>18</v>
      </c>
      <c r="B127">
        <v>1</v>
      </c>
      <c r="C127">
        <v>162</v>
      </c>
      <c r="E127" t="s">
        <v>256</v>
      </c>
      <c r="F127" t="s">
        <v>257</v>
      </c>
      <c r="G127" t="s">
        <v>258</v>
      </c>
      <c r="H127" t="s">
        <v>194</v>
      </c>
      <c r="I127">
        <f>I119*J127</f>
        <v>4.5</v>
      </c>
      <c r="J127">
        <v>20.454545454545453</v>
      </c>
      <c r="K127">
        <v>20.454545</v>
      </c>
      <c r="O127">
        <f t="shared" si="121"/>
        <v>58.86</v>
      </c>
      <c r="P127">
        <f t="shared" si="122"/>
        <v>58.86</v>
      </c>
      <c r="Q127">
        <f t="shared" si="123"/>
        <v>0</v>
      </c>
      <c r="R127">
        <f t="shared" si="124"/>
        <v>0</v>
      </c>
      <c r="S127">
        <f t="shared" si="125"/>
        <v>0</v>
      </c>
      <c r="T127">
        <f t="shared" si="126"/>
        <v>0</v>
      </c>
      <c r="U127">
        <f t="shared" si="127"/>
        <v>0</v>
      </c>
      <c r="V127">
        <f t="shared" si="128"/>
        <v>0</v>
      </c>
      <c r="W127">
        <f t="shared" si="129"/>
        <v>0</v>
      </c>
      <c r="X127">
        <f t="shared" si="130"/>
        <v>0</v>
      </c>
      <c r="Y127">
        <f t="shared" si="131"/>
        <v>0</v>
      </c>
      <c r="AA127">
        <v>55463412</v>
      </c>
      <c r="AB127">
        <f t="shared" si="132"/>
        <v>13.08</v>
      </c>
      <c r="AC127">
        <f t="shared" si="120"/>
        <v>13.08</v>
      </c>
      <c r="AD127">
        <f t="shared" si="162"/>
        <v>0</v>
      </c>
      <c r="AE127">
        <f t="shared" si="163"/>
        <v>0</v>
      </c>
      <c r="AF127">
        <f t="shared" si="163"/>
        <v>0</v>
      </c>
      <c r="AG127">
        <f t="shared" si="133"/>
        <v>0</v>
      </c>
      <c r="AH127">
        <f t="shared" si="164"/>
        <v>0</v>
      </c>
      <c r="AI127">
        <f t="shared" si="164"/>
        <v>0</v>
      </c>
      <c r="AJ127">
        <f t="shared" si="134"/>
        <v>0</v>
      </c>
      <c r="AK127">
        <v>13.08</v>
      </c>
      <c r="AL127">
        <v>13.08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112</v>
      </c>
      <c r="AU127">
        <v>65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1</v>
      </c>
      <c r="BH127">
        <v>3</v>
      </c>
      <c r="BI127">
        <v>1</v>
      </c>
      <c r="BJ127" t="s">
        <v>259</v>
      </c>
      <c r="BM127">
        <v>11001</v>
      </c>
      <c r="BN127">
        <v>0</v>
      </c>
      <c r="BO127" t="s">
        <v>32</v>
      </c>
      <c r="BP127">
        <v>1</v>
      </c>
      <c r="BQ127">
        <v>2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112</v>
      </c>
      <c r="CA127">
        <v>65</v>
      </c>
      <c r="CE127">
        <v>0</v>
      </c>
      <c r="CF127">
        <v>0</v>
      </c>
      <c r="CG127">
        <v>0</v>
      </c>
      <c r="CM127">
        <v>0</v>
      </c>
      <c r="CO127">
        <v>0</v>
      </c>
      <c r="CP127">
        <f t="shared" si="135"/>
        <v>58.86</v>
      </c>
      <c r="CQ127">
        <f t="shared" si="136"/>
        <v>13.08</v>
      </c>
      <c r="CR127">
        <f t="shared" si="165"/>
        <v>0</v>
      </c>
      <c r="CS127">
        <f t="shared" si="137"/>
        <v>0</v>
      </c>
      <c r="CT127">
        <f t="shared" si="138"/>
        <v>0</v>
      </c>
      <c r="CU127">
        <f t="shared" si="139"/>
        <v>0</v>
      </c>
      <c r="CV127">
        <f t="shared" si="140"/>
        <v>0</v>
      </c>
      <c r="CW127">
        <f t="shared" si="141"/>
        <v>0</v>
      </c>
      <c r="CX127">
        <f t="shared" si="142"/>
        <v>0</v>
      </c>
      <c r="CY127">
        <f t="shared" si="143"/>
        <v>0</v>
      </c>
      <c r="CZ127">
        <f t="shared" si="144"/>
        <v>0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194</v>
      </c>
      <c r="DW127" t="s">
        <v>194</v>
      </c>
      <c r="DX127">
        <v>1</v>
      </c>
      <c r="EE127">
        <v>55471663</v>
      </c>
      <c r="EF127">
        <v>2</v>
      </c>
      <c r="EG127" t="s">
        <v>60</v>
      </c>
      <c r="EH127">
        <v>11</v>
      </c>
      <c r="EI127" t="s">
        <v>28</v>
      </c>
      <c r="EJ127">
        <v>1</v>
      </c>
      <c r="EK127">
        <v>11001</v>
      </c>
      <c r="EL127" t="s">
        <v>28</v>
      </c>
      <c r="EM127" t="s">
        <v>146</v>
      </c>
      <c r="EQ127">
        <v>0</v>
      </c>
      <c r="ER127">
        <v>13.08</v>
      </c>
      <c r="ES127">
        <v>13.08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45"/>
        <v>0</v>
      </c>
      <c r="FS127">
        <v>0</v>
      </c>
      <c r="FX127">
        <v>112</v>
      </c>
      <c r="FY127">
        <v>65</v>
      </c>
      <c r="GD127">
        <v>1</v>
      </c>
      <c r="GF127">
        <v>-1209026283</v>
      </c>
      <c r="GG127">
        <v>2</v>
      </c>
      <c r="GH127">
        <v>1</v>
      </c>
      <c r="GI127">
        <v>4</v>
      </c>
      <c r="GJ127">
        <v>0</v>
      </c>
      <c r="GK127">
        <v>0</v>
      </c>
      <c r="GL127">
        <f t="shared" si="146"/>
        <v>0</v>
      </c>
      <c r="GM127">
        <f t="shared" si="147"/>
        <v>58.86</v>
      </c>
      <c r="GN127">
        <f t="shared" si="148"/>
        <v>58.86</v>
      </c>
      <c r="GO127">
        <f t="shared" si="149"/>
        <v>0</v>
      </c>
      <c r="GP127">
        <f t="shared" si="150"/>
        <v>0</v>
      </c>
      <c r="GR127">
        <v>0</v>
      </c>
      <c r="GS127">
        <v>0</v>
      </c>
      <c r="GT127">
        <v>0</v>
      </c>
      <c r="GV127">
        <f t="shared" si="151"/>
        <v>0</v>
      </c>
      <c r="GW127">
        <v>1</v>
      </c>
      <c r="GX127">
        <f t="shared" si="152"/>
        <v>0</v>
      </c>
      <c r="HA127">
        <v>0</v>
      </c>
      <c r="HB127">
        <v>0</v>
      </c>
      <c r="HC127">
        <f t="shared" si="153"/>
        <v>0</v>
      </c>
      <c r="HI127">
        <f t="shared" si="154"/>
        <v>0</v>
      </c>
      <c r="HJ127">
        <f t="shared" si="155"/>
        <v>0</v>
      </c>
      <c r="HK127">
        <f t="shared" si="156"/>
        <v>0</v>
      </c>
      <c r="HL127">
        <f t="shared" si="157"/>
        <v>0</v>
      </c>
      <c r="HN127" t="s">
        <v>147</v>
      </c>
      <c r="HO127" t="s">
        <v>148</v>
      </c>
      <c r="HP127" t="s">
        <v>28</v>
      </c>
      <c r="HQ127" t="s">
        <v>28</v>
      </c>
      <c r="IK127">
        <v>0</v>
      </c>
    </row>
    <row r="129" spans="1:206" ht="12.75">
      <c r="A129" s="3">
        <v>51</v>
      </c>
      <c r="B129" s="3">
        <f>B70</f>
        <v>1</v>
      </c>
      <c r="C129" s="3">
        <f>A70</f>
        <v>4</v>
      </c>
      <c r="D129" s="3">
        <f>ROW(A70)</f>
        <v>70</v>
      </c>
      <c r="E129" s="3"/>
      <c r="F129" s="3">
        <f>IF(F70&lt;&gt;"",F70,"")</f>
      </c>
      <c r="G129" s="3" t="str">
        <f>IF(G70&lt;&gt;"",G70,"")</f>
        <v>Монтажные работы</v>
      </c>
      <c r="H129" s="3">
        <v>0</v>
      </c>
      <c r="I129" s="3"/>
      <c r="J129" s="3"/>
      <c r="K129" s="3"/>
      <c r="L129" s="3"/>
      <c r="M129" s="3"/>
      <c r="N129" s="3"/>
      <c r="O129" s="3">
        <f aca="true" t="shared" si="166" ref="O129:T129">ROUND(AB129,2)</f>
        <v>142414.79</v>
      </c>
      <c r="P129" s="3">
        <f t="shared" si="166"/>
        <v>132624.83</v>
      </c>
      <c r="Q129" s="3">
        <f t="shared" si="166"/>
        <v>1840.46</v>
      </c>
      <c r="R129" s="3">
        <f t="shared" si="166"/>
        <v>305.02</v>
      </c>
      <c r="S129" s="3">
        <f t="shared" si="166"/>
        <v>7949.5</v>
      </c>
      <c r="T129" s="3">
        <f t="shared" si="166"/>
        <v>0</v>
      </c>
      <c r="U129" s="3">
        <f>AH129</f>
        <v>866.0558995</v>
      </c>
      <c r="V129" s="3">
        <f>AI129</f>
        <v>27.55787</v>
      </c>
      <c r="W129" s="3">
        <f>ROUND(AJ129,2)</f>
        <v>0</v>
      </c>
      <c r="X129" s="3">
        <f>ROUND(AK129,2)</f>
        <v>9425.43</v>
      </c>
      <c r="Y129" s="3">
        <f>ROUND(AL129,2)</f>
        <v>6706.67</v>
      </c>
      <c r="Z129" s="3"/>
      <c r="AA129" s="3"/>
      <c r="AB129" s="3">
        <f>ROUND(SUMIF(AA74:AA127,"=55463411",O74:O127),2)</f>
        <v>142414.79</v>
      </c>
      <c r="AC129" s="3">
        <f>ROUND(SUMIF(AA74:AA127,"=55463411",P74:P127),2)</f>
        <v>132624.83</v>
      </c>
      <c r="AD129" s="3">
        <f>ROUND(SUMIF(AA74:AA127,"=55463411",Q74:Q127),2)</f>
        <v>1840.46</v>
      </c>
      <c r="AE129" s="3">
        <f>ROUND(SUMIF(AA74:AA127,"=55463411",R74:R127),2)</f>
        <v>305.02</v>
      </c>
      <c r="AF129" s="3">
        <f>ROUND(SUMIF(AA74:AA127,"=55463411",S74:S127),2)</f>
        <v>7949.5</v>
      </c>
      <c r="AG129" s="3">
        <f>ROUND(SUMIF(AA74:AA127,"=55463411",T74:T127),2)</f>
        <v>0</v>
      </c>
      <c r="AH129" s="3">
        <f>SUMIF(AA74:AA127,"=55463411",U74:U127)</f>
        <v>866.0558995</v>
      </c>
      <c r="AI129" s="3">
        <f>SUMIF(AA74:AA127,"=55463411",V74:V127)</f>
        <v>27.55787</v>
      </c>
      <c r="AJ129" s="3">
        <f>ROUND(SUMIF(AA74:AA127,"=55463411",W74:W127),2)</f>
        <v>0</v>
      </c>
      <c r="AK129" s="3">
        <f>ROUND(SUMIF(AA74:AA127,"=55463411",X74:X127),2)</f>
        <v>9425.43</v>
      </c>
      <c r="AL129" s="3">
        <f>ROUND(SUMIF(AA74:AA127,"=55463411",Y74:Y127),2)</f>
        <v>6706.67</v>
      </c>
      <c r="AM129" s="3"/>
      <c r="AN129" s="3"/>
      <c r="AO129" s="3">
        <f aca="true" t="shared" si="167" ref="AO129:BD129">ROUND(BX129,2)</f>
        <v>0</v>
      </c>
      <c r="AP129" s="3">
        <f t="shared" si="167"/>
        <v>0</v>
      </c>
      <c r="AQ129" s="3">
        <f t="shared" si="167"/>
        <v>0</v>
      </c>
      <c r="AR129" s="3">
        <f t="shared" si="167"/>
        <v>158546.89</v>
      </c>
      <c r="AS129" s="3">
        <f t="shared" si="167"/>
        <v>158546.89</v>
      </c>
      <c r="AT129" s="3">
        <f t="shared" si="167"/>
        <v>0</v>
      </c>
      <c r="AU129" s="3">
        <f t="shared" si="167"/>
        <v>0</v>
      </c>
      <c r="AV129" s="3">
        <f t="shared" si="167"/>
        <v>132624.83</v>
      </c>
      <c r="AW129" s="3">
        <f t="shared" si="167"/>
        <v>132624.83</v>
      </c>
      <c r="AX129" s="3">
        <f t="shared" si="167"/>
        <v>0</v>
      </c>
      <c r="AY129" s="3">
        <f t="shared" si="167"/>
        <v>132624.83</v>
      </c>
      <c r="AZ129" s="3">
        <f t="shared" si="167"/>
        <v>0</v>
      </c>
      <c r="BA129" s="3">
        <f t="shared" si="167"/>
        <v>0</v>
      </c>
      <c r="BB129" s="3">
        <f t="shared" si="167"/>
        <v>0</v>
      </c>
      <c r="BC129" s="3">
        <f t="shared" si="167"/>
        <v>0</v>
      </c>
      <c r="BD129" s="3">
        <f t="shared" si="167"/>
        <v>0</v>
      </c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>
        <f>ROUND(SUMIF(AA74:AA127,"=55463411",FQ74:FQ127),2)</f>
        <v>0</v>
      </c>
      <c r="BY129" s="3">
        <f>ROUND(SUMIF(AA74:AA127,"=55463411",FR74:FR127),2)</f>
        <v>0</v>
      </c>
      <c r="BZ129" s="3">
        <f>ROUND(SUMIF(AA74:AA127,"=55463411",GL74:GL127),2)</f>
        <v>0</v>
      </c>
      <c r="CA129" s="3">
        <f>ROUND(SUMIF(AA74:AA127,"=55463411",GM74:GM127),2)</f>
        <v>158546.89</v>
      </c>
      <c r="CB129" s="3">
        <f>ROUND(SUMIF(AA74:AA127,"=55463411",GN74:GN127),2)</f>
        <v>158546.89</v>
      </c>
      <c r="CC129" s="3">
        <f>ROUND(SUMIF(AA74:AA127,"=55463411",GO74:GO127),2)</f>
        <v>0</v>
      </c>
      <c r="CD129" s="3">
        <f>ROUND(SUMIF(AA74:AA127,"=55463411",GP74:GP127),2)</f>
        <v>0</v>
      </c>
      <c r="CE129" s="3">
        <f>AC129-BX129</f>
        <v>132624.83</v>
      </c>
      <c r="CF129" s="3">
        <f>AC129-BY129</f>
        <v>132624.83</v>
      </c>
      <c r="CG129" s="3">
        <f>BX129-BZ129</f>
        <v>0</v>
      </c>
      <c r="CH129" s="3">
        <f>AC129-BX129-BY129+BZ129</f>
        <v>132624.83</v>
      </c>
      <c r="CI129" s="3">
        <f>BY129-BZ129</f>
        <v>0</v>
      </c>
      <c r="CJ129" s="3">
        <f>ROUND(SUMIF(AA74:AA127,"=55463411",GX74:GX127),2)</f>
        <v>0</v>
      </c>
      <c r="CK129" s="3">
        <f>ROUND(SUMIF(AA74:AA127,"=55463411",GY74:GY127),2)</f>
        <v>0</v>
      </c>
      <c r="CL129" s="3">
        <f>ROUND(SUMIF(AA74:AA127,"=55463411",GZ74:GZ127),2)</f>
        <v>0</v>
      </c>
      <c r="CM129" s="3">
        <f>ROUND(SUMIF(AA74:AA127,"=55463411",HD74:HD127),2)</f>
        <v>0</v>
      </c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4">
        <f aca="true" t="shared" si="168" ref="DG129:DL129">ROUND(DT129,2)</f>
        <v>142414.79</v>
      </c>
      <c r="DH129" s="4">
        <f t="shared" si="168"/>
        <v>132624.83</v>
      </c>
      <c r="DI129" s="4">
        <f t="shared" si="168"/>
        <v>1840.46</v>
      </c>
      <c r="DJ129" s="4">
        <f t="shared" si="168"/>
        <v>305.02</v>
      </c>
      <c r="DK129" s="4">
        <f t="shared" si="168"/>
        <v>7949.5</v>
      </c>
      <c r="DL129" s="4">
        <f t="shared" si="168"/>
        <v>0</v>
      </c>
      <c r="DM129" s="4">
        <f>DZ129</f>
        <v>866.0558995</v>
      </c>
      <c r="DN129" s="4">
        <f>EA129</f>
        <v>27.55787</v>
      </c>
      <c r="DO129" s="4">
        <f>ROUND(EB129,2)</f>
        <v>0</v>
      </c>
      <c r="DP129" s="4">
        <f>ROUND(EC129,2)</f>
        <v>9425.43</v>
      </c>
      <c r="DQ129" s="4">
        <f>ROUND(ED129,2)</f>
        <v>6706.67</v>
      </c>
      <c r="DR129" s="4"/>
      <c r="DS129" s="4"/>
      <c r="DT129" s="4">
        <f>ROUND(SUMIF(AA74:AA127,"=55463412",O74:O127),2)</f>
        <v>142414.79</v>
      </c>
      <c r="DU129" s="4">
        <f>ROUND(SUMIF(AA74:AA127,"=55463412",P74:P127),2)</f>
        <v>132624.83</v>
      </c>
      <c r="DV129" s="4">
        <f>ROUND(SUMIF(AA74:AA127,"=55463412",Q74:Q127),2)</f>
        <v>1840.46</v>
      </c>
      <c r="DW129" s="4">
        <f>ROUND(SUMIF(AA74:AA127,"=55463412",R74:R127),2)</f>
        <v>305.02</v>
      </c>
      <c r="DX129" s="4">
        <f>ROUND(SUMIF(AA74:AA127,"=55463412",S74:S127),2)</f>
        <v>7949.5</v>
      </c>
      <c r="DY129" s="4">
        <f>ROUND(SUMIF(AA74:AA127,"=55463412",T74:T127),2)</f>
        <v>0</v>
      </c>
      <c r="DZ129" s="4">
        <f>SUMIF(AA74:AA127,"=55463412",U74:U127)</f>
        <v>866.0558995</v>
      </c>
      <c r="EA129" s="4">
        <f>SUMIF(AA74:AA127,"=55463412",V74:V127)</f>
        <v>27.55787</v>
      </c>
      <c r="EB129" s="4">
        <f>ROUND(SUMIF(AA74:AA127,"=55463412",W74:W127),2)</f>
        <v>0</v>
      </c>
      <c r="EC129" s="4">
        <f>ROUND(SUMIF(AA74:AA127,"=55463412",X74:X127),2)</f>
        <v>9425.43</v>
      </c>
      <c r="ED129" s="4">
        <f>ROUND(SUMIF(AA74:AA127,"=55463412",Y74:Y127),2)</f>
        <v>6706.67</v>
      </c>
      <c r="EE129" s="4"/>
      <c r="EF129" s="4"/>
      <c r="EG129" s="4">
        <f aca="true" t="shared" si="169" ref="EG129:EV129">ROUND(FP129,2)</f>
        <v>0</v>
      </c>
      <c r="EH129" s="4">
        <f t="shared" si="169"/>
        <v>0</v>
      </c>
      <c r="EI129" s="4">
        <f t="shared" si="169"/>
        <v>0</v>
      </c>
      <c r="EJ129" s="4">
        <f t="shared" si="169"/>
        <v>158546.89</v>
      </c>
      <c r="EK129" s="4">
        <f t="shared" si="169"/>
        <v>158546.89</v>
      </c>
      <c r="EL129" s="4">
        <f t="shared" si="169"/>
        <v>0</v>
      </c>
      <c r="EM129" s="4">
        <f t="shared" si="169"/>
        <v>0</v>
      </c>
      <c r="EN129" s="4">
        <f t="shared" si="169"/>
        <v>132624.83</v>
      </c>
      <c r="EO129" s="4">
        <f t="shared" si="169"/>
        <v>132624.83</v>
      </c>
      <c r="EP129" s="4">
        <f t="shared" si="169"/>
        <v>0</v>
      </c>
      <c r="EQ129" s="4">
        <f t="shared" si="169"/>
        <v>132624.83</v>
      </c>
      <c r="ER129" s="4">
        <f t="shared" si="169"/>
        <v>0</v>
      </c>
      <c r="ES129" s="4">
        <f t="shared" si="169"/>
        <v>0</v>
      </c>
      <c r="ET129" s="4">
        <f t="shared" si="169"/>
        <v>0</v>
      </c>
      <c r="EU129" s="4">
        <f t="shared" si="169"/>
        <v>0</v>
      </c>
      <c r="EV129" s="4">
        <f t="shared" si="169"/>
        <v>0</v>
      </c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>
        <f>ROUND(SUMIF(AA74:AA127,"=55463412",FQ74:FQ127),2)</f>
        <v>0</v>
      </c>
      <c r="FQ129" s="4">
        <f>ROUND(SUMIF(AA74:AA127,"=55463412",FR74:FR127),2)</f>
        <v>0</v>
      </c>
      <c r="FR129" s="4">
        <f>ROUND(SUMIF(AA74:AA127,"=55463412",GL74:GL127),2)</f>
        <v>0</v>
      </c>
      <c r="FS129" s="4">
        <f>ROUND(SUMIF(AA74:AA127,"=55463412",GM74:GM127),2)</f>
        <v>158546.89</v>
      </c>
      <c r="FT129" s="4">
        <f>ROUND(SUMIF(AA74:AA127,"=55463412",GN74:GN127),2)</f>
        <v>158546.89</v>
      </c>
      <c r="FU129" s="4">
        <f>ROUND(SUMIF(AA74:AA127,"=55463412",GO74:GO127),2)</f>
        <v>0</v>
      </c>
      <c r="FV129" s="4">
        <f>ROUND(SUMIF(AA74:AA127,"=55463412",GP74:GP127),2)</f>
        <v>0</v>
      </c>
      <c r="FW129" s="4">
        <f>DU129-FP129</f>
        <v>132624.83</v>
      </c>
      <c r="FX129" s="4">
        <f>DU129-FQ129</f>
        <v>132624.83</v>
      </c>
      <c r="FY129" s="4">
        <f>FP129-FR129</f>
        <v>0</v>
      </c>
      <c r="FZ129" s="4">
        <f>DU129-FP129-FQ129+FR129</f>
        <v>132624.83</v>
      </c>
      <c r="GA129" s="4">
        <f>FQ129-FR129</f>
        <v>0</v>
      </c>
      <c r="GB129" s="4">
        <f>ROUND(SUMIF(AA74:AA127,"=55463412",GX74:GX127),2)</f>
        <v>0</v>
      </c>
      <c r="GC129" s="4">
        <f>ROUND(SUMIF(AA74:AA127,"=55463412",GY74:GY127),2)</f>
        <v>0</v>
      </c>
      <c r="GD129" s="4">
        <f>ROUND(SUMIF(AA74:AA127,"=55463412",GZ74:GZ127),2)</f>
        <v>0</v>
      </c>
      <c r="GE129" s="4">
        <f>ROUND(SUMIF(AA74:AA127,"=55463412",HD74:HD127),2)</f>
        <v>0</v>
      </c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201</v>
      </c>
      <c r="F131" s="5">
        <f>ROUND(Source!O129,O131)</f>
        <v>142414.79</v>
      </c>
      <c r="G131" s="5" t="s">
        <v>67</v>
      </c>
      <c r="H131" s="5" t="s">
        <v>68</v>
      </c>
      <c r="I131" s="5"/>
      <c r="J131" s="5"/>
      <c r="K131" s="5">
        <v>201</v>
      </c>
      <c r="L131" s="5">
        <v>1</v>
      </c>
      <c r="M131" s="5">
        <v>3</v>
      </c>
      <c r="N131" s="5" t="s">
        <v>3</v>
      </c>
      <c r="O131" s="5">
        <v>2</v>
      </c>
      <c r="P131" s="5">
        <f>ROUND(Source!DG129,O131)</f>
        <v>142414.79</v>
      </c>
      <c r="Q131" s="5"/>
      <c r="R131" s="5"/>
      <c r="S131" s="5"/>
      <c r="T131" s="5"/>
      <c r="U131" s="5"/>
      <c r="V131" s="5"/>
      <c r="W131" s="5">
        <v>142414.78999999998</v>
      </c>
      <c r="X131" s="5">
        <v>1</v>
      </c>
      <c r="Y131" s="5">
        <v>142414.78999999998</v>
      </c>
      <c r="Z131" s="5">
        <v>142414.78999999998</v>
      </c>
      <c r="AA131" s="5">
        <v>1</v>
      </c>
      <c r="AB131" s="5">
        <v>1218290.3599999999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202</v>
      </c>
      <c r="F132" s="5">
        <f>ROUND(Source!P129,O132)</f>
        <v>132624.83</v>
      </c>
      <c r="G132" s="5" t="s">
        <v>69</v>
      </c>
      <c r="H132" s="5" t="s">
        <v>70</v>
      </c>
      <c r="I132" s="5"/>
      <c r="J132" s="5"/>
      <c r="K132" s="5">
        <v>202</v>
      </c>
      <c r="L132" s="5">
        <v>2</v>
      </c>
      <c r="M132" s="5">
        <v>3</v>
      </c>
      <c r="N132" s="5" t="s">
        <v>3</v>
      </c>
      <c r="O132" s="5">
        <v>2</v>
      </c>
      <c r="P132" s="5">
        <f>ROUND(Source!DH129,O132)</f>
        <v>132624.83</v>
      </c>
      <c r="Q132" s="5"/>
      <c r="R132" s="5"/>
      <c r="S132" s="5"/>
      <c r="T132" s="5"/>
      <c r="U132" s="5"/>
      <c r="V132" s="5"/>
      <c r="W132" s="5">
        <v>132624.83</v>
      </c>
      <c r="X132" s="5">
        <v>1</v>
      </c>
      <c r="Y132" s="5">
        <v>132624.83</v>
      </c>
      <c r="Z132" s="5">
        <v>132624.83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222</v>
      </c>
      <c r="F133" s="5">
        <f>ROUND(Source!AO129,O133)</f>
        <v>0</v>
      </c>
      <c r="G133" s="5" t="s">
        <v>71</v>
      </c>
      <c r="H133" s="5" t="s">
        <v>72</v>
      </c>
      <c r="I133" s="5"/>
      <c r="J133" s="5"/>
      <c r="K133" s="5">
        <v>222</v>
      </c>
      <c r="L133" s="5">
        <v>3</v>
      </c>
      <c r="M133" s="5">
        <v>3</v>
      </c>
      <c r="N133" s="5" t="s">
        <v>3</v>
      </c>
      <c r="O133" s="5">
        <v>2</v>
      </c>
      <c r="P133" s="5">
        <f>ROUND(Source!EG129,O133)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225</v>
      </c>
      <c r="F134" s="5">
        <f>ROUND(Source!AV129,O134)</f>
        <v>132624.83</v>
      </c>
      <c r="G134" s="5" t="s">
        <v>73</v>
      </c>
      <c r="H134" s="5" t="s">
        <v>74</v>
      </c>
      <c r="I134" s="5"/>
      <c r="J134" s="5"/>
      <c r="K134" s="5">
        <v>225</v>
      </c>
      <c r="L134" s="5">
        <v>4</v>
      </c>
      <c r="M134" s="5">
        <v>3</v>
      </c>
      <c r="N134" s="5" t="s">
        <v>3</v>
      </c>
      <c r="O134" s="5">
        <v>2</v>
      </c>
      <c r="P134" s="5">
        <f>ROUND(Source!EN129,O134)</f>
        <v>132624.83</v>
      </c>
      <c r="Q134" s="5"/>
      <c r="R134" s="5"/>
      <c r="S134" s="5"/>
      <c r="T134" s="5"/>
      <c r="U134" s="5"/>
      <c r="V134" s="5"/>
      <c r="W134" s="5">
        <v>132624.83</v>
      </c>
      <c r="X134" s="5">
        <v>1</v>
      </c>
      <c r="Y134" s="5">
        <v>132624.83</v>
      </c>
      <c r="Z134" s="5">
        <v>132624.83</v>
      </c>
      <c r="AA134" s="5">
        <v>1</v>
      </c>
      <c r="AB134" s="5">
        <v>0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226</v>
      </c>
      <c r="F135" s="5">
        <f>ROUND(Source!AW129,O135)</f>
        <v>132624.83</v>
      </c>
      <c r="G135" s="5" t="s">
        <v>75</v>
      </c>
      <c r="H135" s="5" t="s">
        <v>76</v>
      </c>
      <c r="I135" s="5"/>
      <c r="J135" s="5"/>
      <c r="K135" s="5">
        <v>226</v>
      </c>
      <c r="L135" s="5">
        <v>5</v>
      </c>
      <c r="M135" s="5">
        <v>3</v>
      </c>
      <c r="N135" s="5" t="s">
        <v>3</v>
      </c>
      <c r="O135" s="5">
        <v>2</v>
      </c>
      <c r="P135" s="5">
        <f>ROUND(Source!EO129,O135)</f>
        <v>132624.83</v>
      </c>
      <c r="Q135" s="5"/>
      <c r="R135" s="5"/>
      <c r="S135" s="5"/>
      <c r="T135" s="5"/>
      <c r="U135" s="5"/>
      <c r="V135" s="5"/>
      <c r="W135" s="5">
        <v>132624.83</v>
      </c>
      <c r="X135" s="5">
        <v>1</v>
      </c>
      <c r="Y135" s="5">
        <v>132624.83</v>
      </c>
      <c r="Z135" s="5">
        <v>132624.83</v>
      </c>
      <c r="AA135" s="5">
        <v>1</v>
      </c>
      <c r="AB135" s="5">
        <v>904501.34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227</v>
      </c>
      <c r="F136" s="5">
        <f>ROUND(Source!AX129,O136)</f>
        <v>0</v>
      </c>
      <c r="G136" s="5" t="s">
        <v>77</v>
      </c>
      <c r="H136" s="5" t="s">
        <v>78</v>
      </c>
      <c r="I136" s="5"/>
      <c r="J136" s="5"/>
      <c r="K136" s="5">
        <v>227</v>
      </c>
      <c r="L136" s="5">
        <v>6</v>
      </c>
      <c r="M136" s="5">
        <v>3</v>
      </c>
      <c r="N136" s="5" t="s">
        <v>3</v>
      </c>
      <c r="O136" s="5">
        <v>2</v>
      </c>
      <c r="P136" s="5">
        <f>ROUND(Source!EP129,O136)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228</v>
      </c>
      <c r="F137" s="5">
        <f>ROUND(Source!AY129,O137)</f>
        <v>132624.83</v>
      </c>
      <c r="G137" s="5" t="s">
        <v>79</v>
      </c>
      <c r="H137" s="5" t="s">
        <v>80</v>
      </c>
      <c r="I137" s="5"/>
      <c r="J137" s="5"/>
      <c r="K137" s="5">
        <v>228</v>
      </c>
      <c r="L137" s="5">
        <v>7</v>
      </c>
      <c r="M137" s="5">
        <v>3</v>
      </c>
      <c r="N137" s="5" t="s">
        <v>3</v>
      </c>
      <c r="O137" s="5">
        <v>2</v>
      </c>
      <c r="P137" s="5">
        <f>ROUND(Source!EQ129,O137)</f>
        <v>132624.83</v>
      </c>
      <c r="Q137" s="5"/>
      <c r="R137" s="5"/>
      <c r="S137" s="5"/>
      <c r="T137" s="5"/>
      <c r="U137" s="5"/>
      <c r="V137" s="5"/>
      <c r="W137" s="5">
        <v>132624.83</v>
      </c>
      <c r="X137" s="5">
        <v>1</v>
      </c>
      <c r="Y137" s="5">
        <v>132624.83</v>
      </c>
      <c r="Z137" s="5">
        <v>132624.83</v>
      </c>
      <c r="AA137" s="5">
        <v>1</v>
      </c>
      <c r="AB137" s="5">
        <v>904501.34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216</v>
      </c>
      <c r="F138" s="5">
        <f>ROUND(Source!AP129,O138)</f>
        <v>0</v>
      </c>
      <c r="G138" s="5" t="s">
        <v>81</v>
      </c>
      <c r="H138" s="5" t="s">
        <v>82</v>
      </c>
      <c r="I138" s="5"/>
      <c r="J138" s="5"/>
      <c r="K138" s="5">
        <v>216</v>
      </c>
      <c r="L138" s="5">
        <v>8</v>
      </c>
      <c r="M138" s="5">
        <v>3</v>
      </c>
      <c r="N138" s="5" t="s">
        <v>3</v>
      </c>
      <c r="O138" s="5">
        <v>2</v>
      </c>
      <c r="P138" s="5">
        <f>ROUND(Source!EH129,O138)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223</v>
      </c>
      <c r="F139" s="5">
        <f>ROUND(Source!AQ129,O139)</f>
        <v>0</v>
      </c>
      <c r="G139" s="5" t="s">
        <v>83</v>
      </c>
      <c r="H139" s="5" t="s">
        <v>84</v>
      </c>
      <c r="I139" s="5"/>
      <c r="J139" s="5"/>
      <c r="K139" s="5">
        <v>223</v>
      </c>
      <c r="L139" s="5">
        <v>9</v>
      </c>
      <c r="M139" s="5">
        <v>3</v>
      </c>
      <c r="N139" s="5" t="s">
        <v>3</v>
      </c>
      <c r="O139" s="5">
        <v>2</v>
      </c>
      <c r="P139" s="5">
        <f>ROUND(Source!EI129,O139)</f>
        <v>0</v>
      </c>
      <c r="Q139" s="5"/>
      <c r="R139" s="5"/>
      <c r="S139" s="5"/>
      <c r="T139" s="5"/>
      <c r="U139" s="5"/>
      <c r="V139" s="5"/>
      <c r="W139" s="5">
        <v>0</v>
      </c>
      <c r="X139" s="5">
        <v>1</v>
      </c>
      <c r="Y139" s="5">
        <v>0</v>
      </c>
      <c r="Z139" s="5">
        <v>0</v>
      </c>
      <c r="AA139" s="5">
        <v>1</v>
      </c>
      <c r="AB139" s="5">
        <v>0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229</v>
      </c>
      <c r="F140" s="5">
        <f>ROUND(Source!AZ129,O140)</f>
        <v>0</v>
      </c>
      <c r="G140" s="5" t="s">
        <v>85</v>
      </c>
      <c r="H140" s="5" t="s">
        <v>86</v>
      </c>
      <c r="I140" s="5"/>
      <c r="J140" s="5"/>
      <c r="K140" s="5">
        <v>229</v>
      </c>
      <c r="L140" s="5">
        <v>10</v>
      </c>
      <c r="M140" s="5">
        <v>3</v>
      </c>
      <c r="N140" s="5" t="s">
        <v>3</v>
      </c>
      <c r="O140" s="5">
        <v>2</v>
      </c>
      <c r="P140" s="5">
        <f>ROUND(Source!ER129,O140)</f>
        <v>0</v>
      </c>
      <c r="Q140" s="5"/>
      <c r="R140" s="5"/>
      <c r="S140" s="5"/>
      <c r="T140" s="5"/>
      <c r="U140" s="5"/>
      <c r="V140" s="5"/>
      <c r="W140" s="5">
        <v>0</v>
      </c>
      <c r="X140" s="5">
        <v>1</v>
      </c>
      <c r="Y140" s="5">
        <v>0</v>
      </c>
      <c r="Z140" s="5">
        <v>0</v>
      </c>
      <c r="AA140" s="5">
        <v>1</v>
      </c>
      <c r="AB140" s="5">
        <v>0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203</v>
      </c>
      <c r="F141" s="5">
        <f>ROUND(Source!Q129,O141)</f>
        <v>1840.46</v>
      </c>
      <c r="G141" s="5" t="s">
        <v>87</v>
      </c>
      <c r="H141" s="5" t="s">
        <v>88</v>
      </c>
      <c r="I141" s="5"/>
      <c r="J141" s="5"/>
      <c r="K141" s="5">
        <v>203</v>
      </c>
      <c r="L141" s="5">
        <v>11</v>
      </c>
      <c r="M141" s="5">
        <v>3</v>
      </c>
      <c r="N141" s="5" t="s">
        <v>3</v>
      </c>
      <c r="O141" s="5">
        <v>2</v>
      </c>
      <c r="P141" s="5">
        <f>ROUND(Source!DI129,O141)</f>
        <v>1840.46</v>
      </c>
      <c r="Q141" s="5"/>
      <c r="R141" s="5"/>
      <c r="S141" s="5"/>
      <c r="T141" s="5"/>
      <c r="U141" s="5"/>
      <c r="V141" s="5"/>
      <c r="W141" s="5">
        <v>1840.46</v>
      </c>
      <c r="X141" s="5">
        <v>1</v>
      </c>
      <c r="Y141" s="5">
        <v>1840.46</v>
      </c>
      <c r="Z141" s="5">
        <v>1840.46</v>
      </c>
      <c r="AA141" s="5">
        <v>1</v>
      </c>
      <c r="AB141" s="5">
        <v>23870.77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231</v>
      </c>
      <c r="F142" s="5">
        <f>ROUND(Source!BB129,O142)</f>
        <v>0</v>
      </c>
      <c r="G142" s="5" t="s">
        <v>89</v>
      </c>
      <c r="H142" s="5" t="s">
        <v>90</v>
      </c>
      <c r="I142" s="5"/>
      <c r="J142" s="5"/>
      <c r="K142" s="5">
        <v>231</v>
      </c>
      <c r="L142" s="5">
        <v>12</v>
      </c>
      <c r="M142" s="5">
        <v>3</v>
      </c>
      <c r="N142" s="5" t="s">
        <v>3</v>
      </c>
      <c r="O142" s="5">
        <v>2</v>
      </c>
      <c r="P142" s="5">
        <f>ROUND(Source!ET129,O142)</f>
        <v>0</v>
      </c>
      <c r="Q142" s="5"/>
      <c r="R142" s="5"/>
      <c r="S142" s="5"/>
      <c r="T142" s="5"/>
      <c r="U142" s="5"/>
      <c r="V142" s="5"/>
      <c r="W142" s="5">
        <v>0</v>
      </c>
      <c r="X142" s="5">
        <v>1</v>
      </c>
      <c r="Y142" s="5">
        <v>0</v>
      </c>
      <c r="Z142" s="5">
        <v>0</v>
      </c>
      <c r="AA142" s="5">
        <v>1</v>
      </c>
      <c r="AB142" s="5">
        <v>0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204</v>
      </c>
      <c r="F143" s="5">
        <f>ROUND(Source!R129,O143)</f>
        <v>305.02</v>
      </c>
      <c r="G143" s="5" t="s">
        <v>91</v>
      </c>
      <c r="H143" s="5" t="s">
        <v>92</v>
      </c>
      <c r="I143" s="5"/>
      <c r="J143" s="5"/>
      <c r="K143" s="5">
        <v>204</v>
      </c>
      <c r="L143" s="5">
        <v>13</v>
      </c>
      <c r="M143" s="5">
        <v>3</v>
      </c>
      <c r="N143" s="5" t="s">
        <v>3</v>
      </c>
      <c r="O143" s="5">
        <v>2</v>
      </c>
      <c r="P143" s="5">
        <f>ROUND(Source!DJ129,O143)</f>
        <v>305.02</v>
      </c>
      <c r="Q143" s="5"/>
      <c r="R143" s="5"/>
      <c r="S143" s="5"/>
      <c r="T143" s="5"/>
      <c r="U143" s="5"/>
      <c r="V143" s="5"/>
      <c r="W143" s="5">
        <v>305.02000000000004</v>
      </c>
      <c r="X143" s="5">
        <v>1</v>
      </c>
      <c r="Y143" s="5">
        <v>305.02000000000004</v>
      </c>
      <c r="Z143" s="5">
        <v>305.02000000000004</v>
      </c>
      <c r="AA143" s="5">
        <v>1</v>
      </c>
      <c r="AB143" s="5">
        <v>11124.09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205</v>
      </c>
      <c r="F144" s="5">
        <f>ROUND(Source!S129,O144)</f>
        <v>7949.5</v>
      </c>
      <c r="G144" s="5" t="s">
        <v>93</v>
      </c>
      <c r="H144" s="5" t="s">
        <v>94</v>
      </c>
      <c r="I144" s="5"/>
      <c r="J144" s="5"/>
      <c r="K144" s="5">
        <v>205</v>
      </c>
      <c r="L144" s="5">
        <v>14</v>
      </c>
      <c r="M144" s="5">
        <v>3</v>
      </c>
      <c r="N144" s="5" t="s">
        <v>3</v>
      </c>
      <c r="O144" s="5">
        <v>2</v>
      </c>
      <c r="P144" s="5">
        <f>ROUND(Source!DK129,O144)</f>
        <v>7949.5</v>
      </c>
      <c r="Q144" s="5"/>
      <c r="R144" s="5"/>
      <c r="S144" s="5"/>
      <c r="T144" s="5"/>
      <c r="U144" s="5"/>
      <c r="V144" s="5"/>
      <c r="W144" s="5">
        <v>7949.5</v>
      </c>
      <c r="X144" s="5">
        <v>1</v>
      </c>
      <c r="Y144" s="5">
        <v>7949.5</v>
      </c>
      <c r="Z144" s="5">
        <v>7949.5</v>
      </c>
      <c r="AA144" s="5">
        <v>1</v>
      </c>
      <c r="AB144" s="5">
        <v>289918.25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232</v>
      </c>
      <c r="F145" s="5">
        <f>ROUND(Source!BC129,O145)</f>
        <v>0</v>
      </c>
      <c r="G145" s="5" t="s">
        <v>95</v>
      </c>
      <c r="H145" s="5" t="s">
        <v>96</v>
      </c>
      <c r="I145" s="5"/>
      <c r="J145" s="5"/>
      <c r="K145" s="5">
        <v>232</v>
      </c>
      <c r="L145" s="5">
        <v>15</v>
      </c>
      <c r="M145" s="5">
        <v>3</v>
      </c>
      <c r="N145" s="5" t="s">
        <v>3</v>
      </c>
      <c r="O145" s="5">
        <v>2</v>
      </c>
      <c r="P145" s="5">
        <f>ROUND(Source!EU129,O145)</f>
        <v>0</v>
      </c>
      <c r="Q145" s="5"/>
      <c r="R145" s="5"/>
      <c r="S145" s="5"/>
      <c r="T145" s="5"/>
      <c r="U145" s="5"/>
      <c r="V145" s="5"/>
      <c r="W145" s="5">
        <v>0</v>
      </c>
      <c r="X145" s="5">
        <v>1</v>
      </c>
      <c r="Y145" s="5">
        <v>0</v>
      </c>
      <c r="Z145" s="5">
        <v>0</v>
      </c>
      <c r="AA145" s="5">
        <v>1</v>
      </c>
      <c r="AB145" s="5">
        <v>0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214</v>
      </c>
      <c r="F146" s="5">
        <f>ROUND(Source!AS129,O146)</f>
        <v>158546.89</v>
      </c>
      <c r="G146" s="5" t="s">
        <v>97</v>
      </c>
      <c r="H146" s="5" t="s">
        <v>98</v>
      </c>
      <c r="I146" s="5"/>
      <c r="J146" s="5"/>
      <c r="K146" s="5">
        <v>214</v>
      </c>
      <c r="L146" s="5">
        <v>16</v>
      </c>
      <c r="M146" s="5">
        <v>3</v>
      </c>
      <c r="N146" s="5" t="s">
        <v>3</v>
      </c>
      <c r="O146" s="5">
        <v>2</v>
      </c>
      <c r="P146" s="5">
        <f>ROUND(Source!EK129,O146)</f>
        <v>158546.89</v>
      </c>
      <c r="Q146" s="5"/>
      <c r="R146" s="5"/>
      <c r="S146" s="5"/>
      <c r="T146" s="5"/>
      <c r="U146" s="5"/>
      <c r="V146" s="5"/>
      <c r="W146" s="5">
        <v>158546.89</v>
      </c>
      <c r="X146" s="5">
        <v>1</v>
      </c>
      <c r="Y146" s="5">
        <v>158546.89</v>
      </c>
      <c r="Z146" s="5">
        <v>158546.89</v>
      </c>
      <c r="AA146" s="5">
        <v>1</v>
      </c>
      <c r="AB146" s="5">
        <v>1806628.0899999999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215</v>
      </c>
      <c r="F147" s="5">
        <f>ROUND(Source!AT129,O147)</f>
        <v>0</v>
      </c>
      <c r="G147" s="5" t="s">
        <v>99</v>
      </c>
      <c r="H147" s="5" t="s">
        <v>100</v>
      </c>
      <c r="I147" s="5"/>
      <c r="J147" s="5"/>
      <c r="K147" s="5">
        <v>215</v>
      </c>
      <c r="L147" s="5">
        <v>17</v>
      </c>
      <c r="M147" s="5">
        <v>3</v>
      </c>
      <c r="N147" s="5" t="s">
        <v>3</v>
      </c>
      <c r="O147" s="5">
        <v>2</v>
      </c>
      <c r="P147" s="5">
        <f>ROUND(Source!EL129,O147)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217</v>
      </c>
      <c r="F148" s="5">
        <f>ROUND(Source!AU129,O148)</f>
        <v>0</v>
      </c>
      <c r="G148" s="5" t="s">
        <v>101</v>
      </c>
      <c r="H148" s="5" t="s">
        <v>102</v>
      </c>
      <c r="I148" s="5"/>
      <c r="J148" s="5"/>
      <c r="K148" s="5">
        <v>217</v>
      </c>
      <c r="L148" s="5">
        <v>18</v>
      </c>
      <c r="M148" s="5">
        <v>3</v>
      </c>
      <c r="N148" s="5" t="s">
        <v>3</v>
      </c>
      <c r="O148" s="5">
        <v>2</v>
      </c>
      <c r="P148" s="5">
        <f>ROUND(Source!EM129,O148)</f>
        <v>0</v>
      </c>
      <c r="Q148" s="5"/>
      <c r="R148" s="5"/>
      <c r="S148" s="5"/>
      <c r="T148" s="5"/>
      <c r="U148" s="5"/>
      <c r="V148" s="5"/>
      <c r="W148" s="5">
        <v>0</v>
      </c>
      <c r="X148" s="5">
        <v>1</v>
      </c>
      <c r="Y148" s="5">
        <v>0</v>
      </c>
      <c r="Z148" s="5">
        <v>0</v>
      </c>
      <c r="AA148" s="5">
        <v>1</v>
      </c>
      <c r="AB148" s="5">
        <v>0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230</v>
      </c>
      <c r="F149" s="5">
        <f>ROUND(Source!BA129,O149)</f>
        <v>0</v>
      </c>
      <c r="G149" s="5" t="s">
        <v>103</v>
      </c>
      <c r="H149" s="5" t="s">
        <v>104</v>
      </c>
      <c r="I149" s="5"/>
      <c r="J149" s="5"/>
      <c r="K149" s="5">
        <v>230</v>
      </c>
      <c r="L149" s="5">
        <v>19</v>
      </c>
      <c r="M149" s="5">
        <v>3</v>
      </c>
      <c r="N149" s="5" t="s">
        <v>3</v>
      </c>
      <c r="O149" s="5">
        <v>2</v>
      </c>
      <c r="P149" s="5">
        <f>ROUND(Source!ES129,O149)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206</v>
      </c>
      <c r="F150" s="5">
        <f>ROUND(Source!T129,O150)</f>
        <v>0</v>
      </c>
      <c r="G150" s="5" t="s">
        <v>105</v>
      </c>
      <c r="H150" s="5" t="s">
        <v>106</v>
      </c>
      <c r="I150" s="5"/>
      <c r="J150" s="5"/>
      <c r="K150" s="5">
        <v>206</v>
      </c>
      <c r="L150" s="5">
        <v>20</v>
      </c>
      <c r="M150" s="5">
        <v>3</v>
      </c>
      <c r="N150" s="5" t="s">
        <v>3</v>
      </c>
      <c r="O150" s="5">
        <v>2</v>
      </c>
      <c r="P150" s="5">
        <f>ROUND(Source!DL129,O150)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207</v>
      </c>
      <c r="F151" s="5">
        <f>Source!U129</f>
        <v>866.0558995</v>
      </c>
      <c r="G151" s="5" t="s">
        <v>107</v>
      </c>
      <c r="H151" s="5" t="s">
        <v>108</v>
      </c>
      <c r="I151" s="5"/>
      <c r="J151" s="5"/>
      <c r="K151" s="5">
        <v>207</v>
      </c>
      <c r="L151" s="5">
        <v>21</v>
      </c>
      <c r="M151" s="5">
        <v>3</v>
      </c>
      <c r="N151" s="5" t="s">
        <v>3</v>
      </c>
      <c r="O151" s="5">
        <v>-1</v>
      </c>
      <c r="P151" s="5">
        <f>Source!DM129</f>
        <v>866.0558995</v>
      </c>
      <c r="Q151" s="5"/>
      <c r="R151" s="5"/>
      <c r="S151" s="5"/>
      <c r="T151" s="5"/>
      <c r="U151" s="5"/>
      <c r="V151" s="5"/>
      <c r="W151" s="5">
        <v>866.0558995</v>
      </c>
      <c r="X151" s="5">
        <v>1</v>
      </c>
      <c r="Y151" s="5">
        <v>866.0558995</v>
      </c>
      <c r="Z151" s="5">
        <v>866.0558995</v>
      </c>
      <c r="AA151" s="5">
        <v>1</v>
      </c>
      <c r="AB151" s="5">
        <v>866.0558995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208</v>
      </c>
      <c r="F152" s="5">
        <f>Source!V129</f>
        <v>27.55787</v>
      </c>
      <c r="G152" s="5" t="s">
        <v>109</v>
      </c>
      <c r="H152" s="5" t="s">
        <v>110</v>
      </c>
      <c r="I152" s="5"/>
      <c r="J152" s="5"/>
      <c r="K152" s="5">
        <v>208</v>
      </c>
      <c r="L152" s="5">
        <v>22</v>
      </c>
      <c r="M152" s="5">
        <v>3</v>
      </c>
      <c r="N152" s="5" t="s">
        <v>3</v>
      </c>
      <c r="O152" s="5">
        <v>-1</v>
      </c>
      <c r="P152" s="5">
        <f>Source!DN129</f>
        <v>27.55787</v>
      </c>
      <c r="Q152" s="5"/>
      <c r="R152" s="5"/>
      <c r="S152" s="5"/>
      <c r="T152" s="5"/>
      <c r="U152" s="5"/>
      <c r="V152" s="5"/>
      <c r="W152" s="5">
        <v>27.55787</v>
      </c>
      <c r="X152" s="5">
        <v>1</v>
      </c>
      <c r="Y152" s="5">
        <v>27.55787</v>
      </c>
      <c r="Z152" s="5">
        <v>27.55787</v>
      </c>
      <c r="AA152" s="5">
        <v>1</v>
      </c>
      <c r="AB152" s="5">
        <v>27.55787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209</v>
      </c>
      <c r="F153" s="5">
        <f>ROUND(Source!W129,O153)</f>
        <v>0</v>
      </c>
      <c r="G153" s="5" t="s">
        <v>111</v>
      </c>
      <c r="H153" s="5" t="s">
        <v>112</v>
      </c>
      <c r="I153" s="5"/>
      <c r="J153" s="5"/>
      <c r="K153" s="5">
        <v>209</v>
      </c>
      <c r="L153" s="5">
        <v>23</v>
      </c>
      <c r="M153" s="5">
        <v>3</v>
      </c>
      <c r="N153" s="5" t="s">
        <v>3</v>
      </c>
      <c r="O153" s="5">
        <v>2</v>
      </c>
      <c r="P153" s="5">
        <f>ROUND(Source!DO129,O153)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233</v>
      </c>
      <c r="F154" s="5">
        <f>ROUND(Source!BD129,O154)</f>
        <v>0</v>
      </c>
      <c r="G154" s="5" t="s">
        <v>113</v>
      </c>
      <c r="H154" s="5" t="s">
        <v>114</v>
      </c>
      <c r="I154" s="5"/>
      <c r="J154" s="5"/>
      <c r="K154" s="5">
        <v>233</v>
      </c>
      <c r="L154" s="5">
        <v>24</v>
      </c>
      <c r="M154" s="5">
        <v>3</v>
      </c>
      <c r="N154" s="5" t="s">
        <v>3</v>
      </c>
      <c r="O154" s="5">
        <v>2</v>
      </c>
      <c r="P154" s="5">
        <f>ROUND(Source!EV129,O154)</f>
        <v>0</v>
      </c>
      <c r="Q154" s="5"/>
      <c r="R154" s="5"/>
      <c r="S154" s="5"/>
      <c r="T154" s="5"/>
      <c r="U154" s="5"/>
      <c r="V154" s="5"/>
      <c r="W154" s="5">
        <v>0</v>
      </c>
      <c r="X154" s="5">
        <v>1</v>
      </c>
      <c r="Y154" s="5">
        <v>0</v>
      </c>
      <c r="Z154" s="5">
        <v>0</v>
      </c>
      <c r="AA154" s="5">
        <v>1</v>
      </c>
      <c r="AB154" s="5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ROUND(Source!X129,O155)</f>
        <v>9425.43</v>
      </c>
      <c r="G155" s="5" t="s">
        <v>115</v>
      </c>
      <c r="H155" s="5" t="s">
        <v>116</v>
      </c>
      <c r="I155" s="5"/>
      <c r="J155" s="5"/>
      <c r="K155" s="5">
        <v>210</v>
      </c>
      <c r="L155" s="5">
        <v>25</v>
      </c>
      <c r="M155" s="5">
        <v>3</v>
      </c>
      <c r="N155" s="5" t="s">
        <v>3</v>
      </c>
      <c r="O155" s="5">
        <v>2</v>
      </c>
      <c r="P155" s="5">
        <f>ROUND(Source!DP129,O155)</f>
        <v>9425.43</v>
      </c>
      <c r="Q155" s="5"/>
      <c r="R155" s="5"/>
      <c r="S155" s="5"/>
      <c r="T155" s="5"/>
      <c r="U155" s="5"/>
      <c r="V155" s="5"/>
      <c r="W155" s="5">
        <v>9425.43</v>
      </c>
      <c r="X155" s="5">
        <v>1</v>
      </c>
      <c r="Y155" s="5">
        <v>9425.43</v>
      </c>
      <c r="Z155" s="5">
        <v>9425.43</v>
      </c>
      <c r="AA155" s="5">
        <v>1</v>
      </c>
      <c r="AB155" s="5">
        <v>343744.95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ROUND(Source!Y129,O156)</f>
        <v>6706.67</v>
      </c>
      <c r="G156" s="5" t="s">
        <v>117</v>
      </c>
      <c r="H156" s="5" t="s">
        <v>118</v>
      </c>
      <c r="I156" s="5"/>
      <c r="J156" s="5"/>
      <c r="K156" s="5">
        <v>211</v>
      </c>
      <c r="L156" s="5">
        <v>26</v>
      </c>
      <c r="M156" s="5">
        <v>3</v>
      </c>
      <c r="N156" s="5" t="s">
        <v>3</v>
      </c>
      <c r="O156" s="5">
        <v>2</v>
      </c>
      <c r="P156" s="5">
        <f>ROUND(Source!DQ129,O156)</f>
        <v>6706.67</v>
      </c>
      <c r="Q156" s="5"/>
      <c r="R156" s="5"/>
      <c r="S156" s="5"/>
      <c r="T156" s="5"/>
      <c r="U156" s="5"/>
      <c r="V156" s="5"/>
      <c r="W156" s="5">
        <v>6706.67</v>
      </c>
      <c r="X156" s="5">
        <v>1</v>
      </c>
      <c r="Y156" s="5">
        <v>6706.67</v>
      </c>
      <c r="Z156" s="5">
        <v>6706.67</v>
      </c>
      <c r="AA156" s="5">
        <v>1</v>
      </c>
      <c r="AB156" s="5">
        <v>244592.77999999997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ROUND(Source!AR129,O157)</f>
        <v>158546.89</v>
      </c>
      <c r="G157" s="5" t="s">
        <v>119</v>
      </c>
      <c r="H157" s="5" t="s">
        <v>120</v>
      </c>
      <c r="I157" s="5"/>
      <c r="J157" s="5"/>
      <c r="K157" s="5">
        <v>224</v>
      </c>
      <c r="L157" s="5">
        <v>27</v>
      </c>
      <c r="M157" s="5">
        <v>3</v>
      </c>
      <c r="N157" s="5" t="s">
        <v>3</v>
      </c>
      <c r="O157" s="5">
        <v>2</v>
      </c>
      <c r="P157" s="5">
        <f>ROUND(Source!EJ129,O157)</f>
        <v>158546.89</v>
      </c>
      <c r="Q157" s="5"/>
      <c r="R157" s="5"/>
      <c r="S157" s="5"/>
      <c r="T157" s="5"/>
      <c r="U157" s="5"/>
      <c r="V157" s="5"/>
      <c r="W157" s="5">
        <v>158546.88999999998</v>
      </c>
      <c r="X157" s="5">
        <v>1</v>
      </c>
      <c r="Y157" s="5">
        <v>158546.88999999998</v>
      </c>
      <c r="Z157" s="5">
        <v>158546.88999999998</v>
      </c>
      <c r="AA157" s="5">
        <v>1</v>
      </c>
      <c r="AB157" s="5">
        <v>1806628.0899999999</v>
      </c>
    </row>
    <row r="158" spans="1:28" ht="12.75">
      <c r="A158" s="5">
        <v>50</v>
      </c>
      <c r="B158" s="5">
        <v>1</v>
      </c>
      <c r="C158" s="5">
        <v>0</v>
      </c>
      <c r="D158" s="5">
        <v>2</v>
      </c>
      <c r="E158" s="5">
        <v>0</v>
      </c>
      <c r="F158" s="5">
        <f>ROUND(F157,O158)</f>
        <v>158546.89</v>
      </c>
      <c r="G158" s="5" t="s">
        <v>121</v>
      </c>
      <c r="H158" s="5" t="s">
        <v>122</v>
      </c>
      <c r="I158" s="5"/>
      <c r="J158" s="5"/>
      <c r="K158" s="5">
        <v>212</v>
      </c>
      <c r="L158" s="5">
        <v>28</v>
      </c>
      <c r="M158" s="5">
        <v>0</v>
      </c>
      <c r="N158" s="5" t="s">
        <v>3</v>
      </c>
      <c r="O158" s="5">
        <v>2</v>
      </c>
      <c r="P158" s="5">
        <f>ROUND(P157,O158)</f>
        <v>158546.89</v>
      </c>
      <c r="Q158" s="5"/>
      <c r="R158" s="5"/>
      <c r="S158" s="5"/>
      <c r="T158" s="5"/>
      <c r="U158" s="5"/>
      <c r="V158" s="5"/>
      <c r="W158" s="5">
        <v>158546.89</v>
      </c>
      <c r="X158" s="5">
        <v>1</v>
      </c>
      <c r="Y158" s="5">
        <v>158546.89</v>
      </c>
      <c r="Z158" s="5">
        <v>158546.89</v>
      </c>
      <c r="AA158" s="5">
        <v>1</v>
      </c>
      <c r="AB158" s="5">
        <v>1806628.09</v>
      </c>
    </row>
    <row r="160" spans="1:88" ht="12.75">
      <c r="A160" s="1">
        <v>4</v>
      </c>
      <c r="B160" s="1">
        <v>1</v>
      </c>
      <c r="C160" s="1"/>
      <c r="D160" s="1">
        <f>ROW(A169)</f>
        <v>169</v>
      </c>
      <c r="E160" s="1"/>
      <c r="F160" s="1" t="s">
        <v>260</v>
      </c>
      <c r="G160" s="1" t="s">
        <v>261</v>
      </c>
      <c r="H160" s="1" t="s">
        <v>3</v>
      </c>
      <c r="I160" s="1">
        <v>0</v>
      </c>
      <c r="J160" s="1"/>
      <c r="K160" s="1">
        <v>0</v>
      </c>
      <c r="L160" s="1"/>
      <c r="M160" s="1" t="s">
        <v>3</v>
      </c>
      <c r="N160" s="1"/>
      <c r="O160" s="1"/>
      <c r="P160" s="1"/>
      <c r="Q160" s="1"/>
      <c r="R160" s="1"/>
      <c r="S160" s="1">
        <v>0</v>
      </c>
      <c r="T160" s="1">
        <v>55463413</v>
      </c>
      <c r="U160" s="1" t="s">
        <v>3</v>
      </c>
      <c r="V160" s="1">
        <v>0</v>
      </c>
      <c r="W160" s="1"/>
      <c r="X160" s="1"/>
      <c r="Y160" s="1"/>
      <c r="Z160" s="1"/>
      <c r="AA160" s="1"/>
      <c r="AB160" s="1" t="s">
        <v>3</v>
      </c>
      <c r="AC160" s="1" t="s">
        <v>3</v>
      </c>
      <c r="AD160" s="1" t="s">
        <v>3</v>
      </c>
      <c r="AE160" s="1" t="s">
        <v>3</v>
      </c>
      <c r="AF160" s="1" t="s">
        <v>3</v>
      </c>
      <c r="AG160" s="1" t="s">
        <v>3</v>
      </c>
      <c r="AH160" s="1"/>
      <c r="AI160" s="1"/>
      <c r="AJ160" s="1"/>
      <c r="AK160" s="1"/>
      <c r="AL160" s="1"/>
      <c r="AM160" s="1"/>
      <c r="AN160" s="1"/>
      <c r="AO160" s="1"/>
      <c r="AP160" s="1" t="s">
        <v>3</v>
      </c>
      <c r="AQ160" s="1" t="s">
        <v>3</v>
      </c>
      <c r="AR160" s="1" t="s">
        <v>3</v>
      </c>
      <c r="AS160" s="1"/>
      <c r="AT160" s="1"/>
      <c r="AU160" s="1"/>
      <c r="AV160" s="1"/>
      <c r="AW160" s="1"/>
      <c r="AX160" s="1"/>
      <c r="AY160" s="1"/>
      <c r="AZ160" s="1" t="s">
        <v>3</v>
      </c>
      <c r="BA160" s="1"/>
      <c r="BB160" s="1" t="s">
        <v>3</v>
      </c>
      <c r="BC160" s="1" t="s">
        <v>3</v>
      </c>
      <c r="BD160" s="1" t="s">
        <v>3</v>
      </c>
      <c r="BE160" s="1" t="s">
        <v>3</v>
      </c>
      <c r="BF160" s="1" t="s">
        <v>3</v>
      </c>
      <c r="BG160" s="1" t="s">
        <v>3</v>
      </c>
      <c r="BH160" s="1" t="s">
        <v>3</v>
      </c>
      <c r="BI160" s="1" t="s">
        <v>3</v>
      </c>
      <c r="BJ160" s="1" t="s">
        <v>3</v>
      </c>
      <c r="BK160" s="1" t="s">
        <v>3</v>
      </c>
      <c r="BL160" s="1" t="s">
        <v>3</v>
      </c>
      <c r="BM160" s="1" t="s">
        <v>3</v>
      </c>
      <c r="BN160" s="1" t="s">
        <v>3</v>
      </c>
      <c r="BO160" s="1" t="s">
        <v>3</v>
      </c>
      <c r="BP160" s="1" t="s">
        <v>3</v>
      </c>
      <c r="BQ160" s="1"/>
      <c r="BR160" s="1"/>
      <c r="BS160" s="1"/>
      <c r="BT160" s="1"/>
      <c r="BU160" s="1"/>
      <c r="BV160" s="1"/>
      <c r="BW160" s="1"/>
      <c r="BX160" s="1">
        <v>0</v>
      </c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>
        <v>0</v>
      </c>
    </row>
    <row r="162" spans="1:206" ht="12.75">
      <c r="A162" s="3">
        <v>52</v>
      </c>
      <c r="B162" s="3">
        <f aca="true" t="shared" si="170" ref="B162:G162">B169</f>
        <v>1</v>
      </c>
      <c r="C162" s="3">
        <f t="shared" si="170"/>
        <v>4</v>
      </c>
      <c r="D162" s="3">
        <f t="shared" si="170"/>
        <v>160</v>
      </c>
      <c r="E162" s="3">
        <f t="shared" si="170"/>
        <v>0</v>
      </c>
      <c r="F162" s="3" t="str">
        <f t="shared" si="170"/>
        <v>Новый раздел</v>
      </c>
      <c r="G162" s="3" t="str">
        <f t="shared" si="170"/>
        <v>Разные работы</v>
      </c>
      <c r="H162" s="3"/>
      <c r="I162" s="3"/>
      <c r="J162" s="3"/>
      <c r="K162" s="3"/>
      <c r="L162" s="3"/>
      <c r="M162" s="3"/>
      <c r="N162" s="3"/>
      <c r="O162" s="3">
        <f aca="true" t="shared" si="171" ref="O162:AT162">O169</f>
        <v>0</v>
      </c>
      <c r="P162" s="3">
        <f t="shared" si="171"/>
        <v>0</v>
      </c>
      <c r="Q162" s="3">
        <f t="shared" si="171"/>
        <v>0</v>
      </c>
      <c r="R162" s="3">
        <f t="shared" si="171"/>
        <v>0</v>
      </c>
      <c r="S162" s="3">
        <f t="shared" si="171"/>
        <v>0</v>
      </c>
      <c r="T162" s="3">
        <f t="shared" si="171"/>
        <v>0</v>
      </c>
      <c r="U162" s="3">
        <f t="shared" si="171"/>
        <v>0</v>
      </c>
      <c r="V162" s="3">
        <f t="shared" si="171"/>
        <v>0</v>
      </c>
      <c r="W162" s="3">
        <f t="shared" si="171"/>
        <v>0</v>
      </c>
      <c r="X162" s="3">
        <f t="shared" si="171"/>
        <v>0</v>
      </c>
      <c r="Y162" s="3">
        <f t="shared" si="171"/>
        <v>0</v>
      </c>
      <c r="Z162" s="3">
        <f t="shared" si="171"/>
        <v>0</v>
      </c>
      <c r="AA162" s="3">
        <f t="shared" si="171"/>
        <v>0</v>
      </c>
      <c r="AB162" s="3">
        <f t="shared" si="171"/>
        <v>0</v>
      </c>
      <c r="AC162" s="3">
        <f t="shared" si="171"/>
        <v>0</v>
      </c>
      <c r="AD162" s="3">
        <f t="shared" si="171"/>
        <v>0</v>
      </c>
      <c r="AE162" s="3">
        <f t="shared" si="171"/>
        <v>0</v>
      </c>
      <c r="AF162" s="3">
        <f t="shared" si="171"/>
        <v>0</v>
      </c>
      <c r="AG162" s="3">
        <f t="shared" si="171"/>
        <v>0</v>
      </c>
      <c r="AH162" s="3">
        <f t="shared" si="171"/>
        <v>0</v>
      </c>
      <c r="AI162" s="3">
        <f t="shared" si="171"/>
        <v>0</v>
      </c>
      <c r="AJ162" s="3">
        <f t="shared" si="171"/>
        <v>0</v>
      </c>
      <c r="AK162" s="3">
        <f t="shared" si="171"/>
        <v>0</v>
      </c>
      <c r="AL162" s="3">
        <f t="shared" si="171"/>
        <v>0</v>
      </c>
      <c r="AM162" s="3">
        <f t="shared" si="171"/>
        <v>0</v>
      </c>
      <c r="AN162" s="3">
        <f t="shared" si="171"/>
        <v>0</v>
      </c>
      <c r="AO162" s="3">
        <f t="shared" si="171"/>
        <v>0</v>
      </c>
      <c r="AP162" s="3">
        <f t="shared" si="171"/>
        <v>0</v>
      </c>
      <c r="AQ162" s="3">
        <f t="shared" si="171"/>
        <v>0</v>
      </c>
      <c r="AR162" s="3">
        <f t="shared" si="171"/>
        <v>1238.73</v>
      </c>
      <c r="AS162" s="3">
        <f t="shared" si="171"/>
        <v>1238.73</v>
      </c>
      <c r="AT162" s="3">
        <f t="shared" si="171"/>
        <v>0</v>
      </c>
      <c r="AU162" s="3">
        <f aca="true" t="shared" si="172" ref="AU162:BZ162">AU169</f>
        <v>0</v>
      </c>
      <c r="AV162" s="3">
        <f t="shared" si="172"/>
        <v>0</v>
      </c>
      <c r="AW162" s="3">
        <f t="shared" si="172"/>
        <v>0</v>
      </c>
      <c r="AX162" s="3">
        <f t="shared" si="172"/>
        <v>0</v>
      </c>
      <c r="AY162" s="3">
        <f t="shared" si="172"/>
        <v>0</v>
      </c>
      <c r="AZ162" s="3">
        <f t="shared" si="172"/>
        <v>0</v>
      </c>
      <c r="BA162" s="3">
        <f t="shared" si="172"/>
        <v>0</v>
      </c>
      <c r="BB162" s="3">
        <f t="shared" si="172"/>
        <v>0</v>
      </c>
      <c r="BC162" s="3">
        <f t="shared" si="172"/>
        <v>0</v>
      </c>
      <c r="BD162" s="3">
        <f t="shared" si="172"/>
        <v>1238.73</v>
      </c>
      <c r="BE162" s="3">
        <f t="shared" si="172"/>
        <v>0</v>
      </c>
      <c r="BF162" s="3">
        <f t="shared" si="172"/>
        <v>0</v>
      </c>
      <c r="BG162" s="3">
        <f t="shared" si="172"/>
        <v>0</v>
      </c>
      <c r="BH162" s="3">
        <f t="shared" si="172"/>
        <v>0</v>
      </c>
      <c r="BI162" s="3">
        <f t="shared" si="172"/>
        <v>0</v>
      </c>
      <c r="BJ162" s="3">
        <f t="shared" si="172"/>
        <v>0</v>
      </c>
      <c r="BK162" s="3">
        <f t="shared" si="172"/>
        <v>0</v>
      </c>
      <c r="BL162" s="3">
        <f t="shared" si="172"/>
        <v>0</v>
      </c>
      <c r="BM162" s="3">
        <f t="shared" si="172"/>
        <v>0</v>
      </c>
      <c r="BN162" s="3">
        <f t="shared" si="172"/>
        <v>0</v>
      </c>
      <c r="BO162" s="3">
        <f t="shared" si="172"/>
        <v>0</v>
      </c>
      <c r="BP162" s="3">
        <f t="shared" si="172"/>
        <v>0</v>
      </c>
      <c r="BQ162" s="3">
        <f t="shared" si="172"/>
        <v>0</v>
      </c>
      <c r="BR162" s="3">
        <f t="shared" si="172"/>
        <v>0</v>
      </c>
      <c r="BS162" s="3">
        <f t="shared" si="172"/>
        <v>0</v>
      </c>
      <c r="BT162" s="3">
        <f t="shared" si="172"/>
        <v>0</v>
      </c>
      <c r="BU162" s="3">
        <f t="shared" si="172"/>
        <v>0</v>
      </c>
      <c r="BV162" s="3">
        <f t="shared" si="172"/>
        <v>0</v>
      </c>
      <c r="BW162" s="3">
        <f t="shared" si="172"/>
        <v>0</v>
      </c>
      <c r="BX162" s="3">
        <f t="shared" si="172"/>
        <v>0</v>
      </c>
      <c r="BY162" s="3">
        <f t="shared" si="172"/>
        <v>0</v>
      </c>
      <c r="BZ162" s="3">
        <f t="shared" si="172"/>
        <v>0</v>
      </c>
      <c r="CA162" s="3">
        <f aca="true" t="shared" si="173" ref="CA162:DF162">CA169</f>
        <v>1238.73</v>
      </c>
      <c r="CB162" s="3">
        <f t="shared" si="173"/>
        <v>1238.73</v>
      </c>
      <c r="CC162" s="3">
        <f t="shared" si="173"/>
        <v>0</v>
      </c>
      <c r="CD162" s="3">
        <f t="shared" si="173"/>
        <v>0</v>
      </c>
      <c r="CE162" s="3">
        <f t="shared" si="173"/>
        <v>0</v>
      </c>
      <c r="CF162" s="3">
        <f t="shared" si="173"/>
        <v>0</v>
      </c>
      <c r="CG162" s="3">
        <f t="shared" si="173"/>
        <v>0</v>
      </c>
      <c r="CH162" s="3">
        <f t="shared" si="173"/>
        <v>0</v>
      </c>
      <c r="CI162" s="3">
        <f t="shared" si="173"/>
        <v>0</v>
      </c>
      <c r="CJ162" s="3">
        <f t="shared" si="173"/>
        <v>0</v>
      </c>
      <c r="CK162" s="3">
        <f t="shared" si="173"/>
        <v>0</v>
      </c>
      <c r="CL162" s="3">
        <f t="shared" si="173"/>
        <v>0</v>
      </c>
      <c r="CM162" s="3">
        <f t="shared" si="173"/>
        <v>1238.73</v>
      </c>
      <c r="CN162" s="3">
        <f t="shared" si="173"/>
        <v>0</v>
      </c>
      <c r="CO162" s="3">
        <f t="shared" si="173"/>
        <v>0</v>
      </c>
      <c r="CP162" s="3">
        <f t="shared" si="173"/>
        <v>0</v>
      </c>
      <c r="CQ162" s="3">
        <f t="shared" si="173"/>
        <v>0</v>
      </c>
      <c r="CR162" s="3">
        <f t="shared" si="173"/>
        <v>0</v>
      </c>
      <c r="CS162" s="3">
        <f t="shared" si="173"/>
        <v>0</v>
      </c>
      <c r="CT162" s="3">
        <f t="shared" si="173"/>
        <v>0</v>
      </c>
      <c r="CU162" s="3">
        <f t="shared" si="173"/>
        <v>0</v>
      </c>
      <c r="CV162" s="3">
        <f t="shared" si="173"/>
        <v>0</v>
      </c>
      <c r="CW162" s="3">
        <f t="shared" si="173"/>
        <v>0</v>
      </c>
      <c r="CX162" s="3">
        <f t="shared" si="173"/>
        <v>0</v>
      </c>
      <c r="CY162" s="3">
        <f t="shared" si="173"/>
        <v>0</v>
      </c>
      <c r="CZ162" s="3">
        <f t="shared" si="173"/>
        <v>0</v>
      </c>
      <c r="DA162" s="3">
        <f t="shared" si="173"/>
        <v>0</v>
      </c>
      <c r="DB162" s="3">
        <f t="shared" si="173"/>
        <v>0</v>
      </c>
      <c r="DC162" s="3">
        <f t="shared" si="173"/>
        <v>0</v>
      </c>
      <c r="DD162" s="3">
        <f t="shared" si="173"/>
        <v>0</v>
      </c>
      <c r="DE162" s="3">
        <f t="shared" si="173"/>
        <v>0</v>
      </c>
      <c r="DF162" s="3">
        <f t="shared" si="173"/>
        <v>0</v>
      </c>
      <c r="DG162" s="4">
        <f aca="true" t="shared" si="174" ref="DG162:EL162">DG169</f>
        <v>0</v>
      </c>
      <c r="DH162" s="4">
        <f t="shared" si="174"/>
        <v>0</v>
      </c>
      <c r="DI162" s="4">
        <f t="shared" si="174"/>
        <v>0</v>
      </c>
      <c r="DJ162" s="4">
        <f t="shared" si="174"/>
        <v>0</v>
      </c>
      <c r="DK162" s="4">
        <f t="shared" si="174"/>
        <v>0</v>
      </c>
      <c r="DL162" s="4">
        <f t="shared" si="174"/>
        <v>0</v>
      </c>
      <c r="DM162" s="4">
        <f t="shared" si="174"/>
        <v>0</v>
      </c>
      <c r="DN162" s="4">
        <f t="shared" si="174"/>
        <v>0</v>
      </c>
      <c r="DO162" s="4">
        <f t="shared" si="174"/>
        <v>0</v>
      </c>
      <c r="DP162" s="4">
        <f t="shared" si="174"/>
        <v>0</v>
      </c>
      <c r="DQ162" s="4">
        <f t="shared" si="174"/>
        <v>0</v>
      </c>
      <c r="DR162" s="4">
        <f t="shared" si="174"/>
        <v>0</v>
      </c>
      <c r="DS162" s="4">
        <f t="shared" si="174"/>
        <v>0</v>
      </c>
      <c r="DT162" s="4">
        <f t="shared" si="174"/>
        <v>0</v>
      </c>
      <c r="DU162" s="4">
        <f t="shared" si="174"/>
        <v>0</v>
      </c>
      <c r="DV162" s="4">
        <f t="shared" si="174"/>
        <v>0</v>
      </c>
      <c r="DW162" s="4">
        <f t="shared" si="174"/>
        <v>0</v>
      </c>
      <c r="DX162" s="4">
        <f t="shared" si="174"/>
        <v>0</v>
      </c>
      <c r="DY162" s="4">
        <f t="shared" si="174"/>
        <v>0</v>
      </c>
      <c r="DZ162" s="4">
        <f t="shared" si="174"/>
        <v>0</v>
      </c>
      <c r="EA162" s="4">
        <f t="shared" si="174"/>
        <v>0</v>
      </c>
      <c r="EB162" s="4">
        <f t="shared" si="174"/>
        <v>0</v>
      </c>
      <c r="EC162" s="4">
        <f t="shared" si="174"/>
        <v>0</v>
      </c>
      <c r="ED162" s="4">
        <f t="shared" si="174"/>
        <v>0</v>
      </c>
      <c r="EE162" s="4">
        <f t="shared" si="174"/>
        <v>0</v>
      </c>
      <c r="EF162" s="4">
        <f t="shared" si="174"/>
        <v>0</v>
      </c>
      <c r="EG162" s="4">
        <f t="shared" si="174"/>
        <v>0</v>
      </c>
      <c r="EH162" s="4">
        <f t="shared" si="174"/>
        <v>0</v>
      </c>
      <c r="EI162" s="4">
        <f t="shared" si="174"/>
        <v>0</v>
      </c>
      <c r="EJ162" s="4">
        <f t="shared" si="174"/>
        <v>1238.73</v>
      </c>
      <c r="EK162" s="4">
        <f t="shared" si="174"/>
        <v>1238.73</v>
      </c>
      <c r="EL162" s="4">
        <f t="shared" si="174"/>
        <v>0</v>
      </c>
      <c r="EM162" s="4">
        <f aca="true" t="shared" si="175" ref="EM162:FR162">EM169</f>
        <v>0</v>
      </c>
      <c r="EN162" s="4">
        <f t="shared" si="175"/>
        <v>0</v>
      </c>
      <c r="EO162" s="4">
        <f t="shared" si="175"/>
        <v>0</v>
      </c>
      <c r="EP162" s="4">
        <f t="shared" si="175"/>
        <v>0</v>
      </c>
      <c r="EQ162" s="4">
        <f t="shared" si="175"/>
        <v>0</v>
      </c>
      <c r="ER162" s="4">
        <f t="shared" si="175"/>
        <v>0</v>
      </c>
      <c r="ES162" s="4">
        <f t="shared" si="175"/>
        <v>0</v>
      </c>
      <c r="ET162" s="4">
        <f t="shared" si="175"/>
        <v>0</v>
      </c>
      <c r="EU162" s="4">
        <f t="shared" si="175"/>
        <v>0</v>
      </c>
      <c r="EV162" s="4">
        <f t="shared" si="175"/>
        <v>1238.73</v>
      </c>
      <c r="EW162" s="4">
        <f t="shared" si="175"/>
        <v>0</v>
      </c>
      <c r="EX162" s="4">
        <f t="shared" si="175"/>
        <v>0</v>
      </c>
      <c r="EY162" s="4">
        <f t="shared" si="175"/>
        <v>0</v>
      </c>
      <c r="EZ162" s="4">
        <f t="shared" si="175"/>
        <v>0</v>
      </c>
      <c r="FA162" s="4">
        <f t="shared" si="175"/>
        <v>0</v>
      </c>
      <c r="FB162" s="4">
        <f t="shared" si="175"/>
        <v>0</v>
      </c>
      <c r="FC162" s="4">
        <f t="shared" si="175"/>
        <v>0</v>
      </c>
      <c r="FD162" s="4">
        <f t="shared" si="175"/>
        <v>0</v>
      </c>
      <c r="FE162" s="4">
        <f t="shared" si="175"/>
        <v>0</v>
      </c>
      <c r="FF162" s="4">
        <f t="shared" si="175"/>
        <v>0</v>
      </c>
      <c r="FG162" s="4">
        <f t="shared" si="175"/>
        <v>0</v>
      </c>
      <c r="FH162" s="4">
        <f t="shared" si="175"/>
        <v>0</v>
      </c>
      <c r="FI162" s="4">
        <f t="shared" si="175"/>
        <v>0</v>
      </c>
      <c r="FJ162" s="4">
        <f t="shared" si="175"/>
        <v>0</v>
      </c>
      <c r="FK162" s="4">
        <f t="shared" si="175"/>
        <v>0</v>
      </c>
      <c r="FL162" s="4">
        <f t="shared" si="175"/>
        <v>0</v>
      </c>
      <c r="FM162" s="4">
        <f t="shared" si="175"/>
        <v>0</v>
      </c>
      <c r="FN162" s="4">
        <f t="shared" si="175"/>
        <v>0</v>
      </c>
      <c r="FO162" s="4">
        <f t="shared" si="175"/>
        <v>0</v>
      </c>
      <c r="FP162" s="4">
        <f t="shared" si="175"/>
        <v>0</v>
      </c>
      <c r="FQ162" s="4">
        <f t="shared" si="175"/>
        <v>0</v>
      </c>
      <c r="FR162" s="4">
        <f t="shared" si="175"/>
        <v>0</v>
      </c>
      <c r="FS162" s="4">
        <f aca="true" t="shared" si="176" ref="FS162:GX162">FS169</f>
        <v>1238.73</v>
      </c>
      <c r="FT162" s="4">
        <f t="shared" si="176"/>
        <v>1238.73</v>
      </c>
      <c r="FU162" s="4">
        <f t="shared" si="176"/>
        <v>0</v>
      </c>
      <c r="FV162" s="4">
        <f t="shared" si="176"/>
        <v>0</v>
      </c>
      <c r="FW162" s="4">
        <f t="shared" si="176"/>
        <v>0</v>
      </c>
      <c r="FX162" s="4">
        <f t="shared" si="176"/>
        <v>0</v>
      </c>
      <c r="FY162" s="4">
        <f t="shared" si="176"/>
        <v>0</v>
      </c>
      <c r="FZ162" s="4">
        <f t="shared" si="176"/>
        <v>0</v>
      </c>
      <c r="GA162" s="4">
        <f t="shared" si="176"/>
        <v>0</v>
      </c>
      <c r="GB162" s="4">
        <f t="shared" si="176"/>
        <v>0</v>
      </c>
      <c r="GC162" s="4">
        <f t="shared" si="176"/>
        <v>0</v>
      </c>
      <c r="GD162" s="4">
        <f t="shared" si="176"/>
        <v>0</v>
      </c>
      <c r="GE162" s="4">
        <f t="shared" si="176"/>
        <v>1238.73</v>
      </c>
      <c r="GF162" s="4">
        <f t="shared" si="176"/>
        <v>0</v>
      </c>
      <c r="GG162" s="4">
        <f t="shared" si="176"/>
        <v>0</v>
      </c>
      <c r="GH162" s="4">
        <f t="shared" si="176"/>
        <v>0</v>
      </c>
      <c r="GI162" s="4">
        <f t="shared" si="176"/>
        <v>0</v>
      </c>
      <c r="GJ162" s="4">
        <f t="shared" si="176"/>
        <v>0</v>
      </c>
      <c r="GK162" s="4">
        <f t="shared" si="176"/>
        <v>0</v>
      </c>
      <c r="GL162" s="4">
        <f t="shared" si="176"/>
        <v>0</v>
      </c>
      <c r="GM162" s="4">
        <f t="shared" si="176"/>
        <v>0</v>
      </c>
      <c r="GN162" s="4">
        <f t="shared" si="176"/>
        <v>0</v>
      </c>
      <c r="GO162" s="4">
        <f t="shared" si="176"/>
        <v>0</v>
      </c>
      <c r="GP162" s="4">
        <f t="shared" si="176"/>
        <v>0</v>
      </c>
      <c r="GQ162" s="4">
        <f t="shared" si="176"/>
        <v>0</v>
      </c>
      <c r="GR162" s="4">
        <f t="shared" si="176"/>
        <v>0</v>
      </c>
      <c r="GS162" s="4">
        <f t="shared" si="176"/>
        <v>0</v>
      </c>
      <c r="GT162" s="4">
        <f t="shared" si="176"/>
        <v>0</v>
      </c>
      <c r="GU162" s="4">
        <f t="shared" si="176"/>
        <v>0</v>
      </c>
      <c r="GV162" s="4">
        <f t="shared" si="176"/>
        <v>0</v>
      </c>
      <c r="GW162" s="4">
        <f t="shared" si="176"/>
        <v>0</v>
      </c>
      <c r="GX162" s="4">
        <f t="shared" si="176"/>
        <v>0</v>
      </c>
    </row>
    <row r="164" spans="1:255" ht="12.75">
      <c r="A164" s="2">
        <v>17</v>
      </c>
      <c r="B164" s="2">
        <v>1</v>
      </c>
      <c r="C164" s="2"/>
      <c r="D164" s="2"/>
      <c r="E164" s="2" t="s">
        <v>262</v>
      </c>
      <c r="F164" s="2" t="s">
        <v>263</v>
      </c>
      <c r="G164" s="2" t="s">
        <v>264</v>
      </c>
      <c r="H164" s="2" t="s">
        <v>265</v>
      </c>
      <c r="I164" s="2">
        <v>17.78</v>
      </c>
      <c r="J164" s="2">
        <v>0</v>
      </c>
      <c r="K164" s="2">
        <v>17.78</v>
      </c>
      <c r="L164" s="2"/>
      <c r="M164" s="2"/>
      <c r="N164" s="2"/>
      <c r="O164" s="2">
        <f>0</f>
        <v>0</v>
      </c>
      <c r="P164" s="2">
        <f>0</f>
        <v>0</v>
      </c>
      <c r="Q164" s="2">
        <f>0</f>
        <v>0</v>
      </c>
      <c r="R164" s="2">
        <f>0</f>
        <v>0</v>
      </c>
      <c r="S164" s="2">
        <f>0</f>
        <v>0</v>
      </c>
      <c r="T164" s="2">
        <f>0</f>
        <v>0</v>
      </c>
      <c r="U164" s="2">
        <f>0</f>
        <v>0</v>
      </c>
      <c r="V164" s="2">
        <f>0</f>
        <v>0</v>
      </c>
      <c r="W164" s="2">
        <f>0</f>
        <v>0</v>
      </c>
      <c r="X164" s="2">
        <f>0</f>
        <v>0</v>
      </c>
      <c r="Y164" s="2">
        <f>0</f>
        <v>0</v>
      </c>
      <c r="Z164" s="2"/>
      <c r="AA164" s="2">
        <v>55463411</v>
      </c>
      <c r="AB164" s="2">
        <f>ROUND((AK164),2)</f>
        <v>42.98</v>
      </c>
      <c r="AC164" s="2">
        <f>0</f>
        <v>0</v>
      </c>
      <c r="AD164" s="2">
        <f>0</f>
        <v>0</v>
      </c>
      <c r="AE164" s="2">
        <f>0</f>
        <v>0</v>
      </c>
      <c r="AF164" s="2">
        <f>0</f>
        <v>0</v>
      </c>
      <c r="AG164" s="2">
        <f>0</f>
        <v>0</v>
      </c>
      <c r="AH164" s="2">
        <f>0</f>
        <v>0</v>
      </c>
      <c r="AI164" s="2">
        <f>0</f>
        <v>0</v>
      </c>
      <c r="AJ164" s="2">
        <f>0</f>
        <v>0</v>
      </c>
      <c r="AK164" s="2">
        <v>42.98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3</v>
      </c>
      <c r="BE164" s="2" t="s">
        <v>3</v>
      </c>
      <c r="BF164" s="2" t="s">
        <v>3</v>
      </c>
      <c r="BG164" s="2" t="s">
        <v>3</v>
      </c>
      <c r="BH164" s="2">
        <v>0</v>
      </c>
      <c r="BI164" s="2">
        <v>1</v>
      </c>
      <c r="BJ164" s="2" t="s">
        <v>266</v>
      </c>
      <c r="BK164" s="2"/>
      <c r="BL164" s="2"/>
      <c r="BM164" s="2">
        <v>700004</v>
      </c>
      <c r="BN164" s="2">
        <v>0</v>
      </c>
      <c r="BO164" s="2" t="s">
        <v>3</v>
      </c>
      <c r="BP164" s="2">
        <v>0</v>
      </c>
      <c r="BQ164" s="2">
        <v>19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3</v>
      </c>
      <c r="BZ164" s="2">
        <v>0</v>
      </c>
      <c r="CA164" s="2">
        <v>0</v>
      </c>
      <c r="CB164" s="2" t="s">
        <v>3</v>
      </c>
      <c r="CC164" s="2"/>
      <c r="CD164" s="2"/>
      <c r="CE164" s="2">
        <v>0</v>
      </c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3</v>
      </c>
      <c r="CO164" s="2">
        <v>0</v>
      </c>
      <c r="CP164" s="2">
        <f>AB164*AZ164</f>
        <v>42.98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/>
      <c r="DB164" s="2"/>
      <c r="DC164" s="2" t="s">
        <v>3</v>
      </c>
      <c r="DD164" s="2" t="s">
        <v>3</v>
      </c>
      <c r="DE164" s="2" t="s">
        <v>3</v>
      </c>
      <c r="DF164" s="2" t="s">
        <v>3</v>
      </c>
      <c r="DG164" s="2" t="s">
        <v>3</v>
      </c>
      <c r="DH164" s="2" t="s">
        <v>3</v>
      </c>
      <c r="DI164" s="2" t="s">
        <v>3</v>
      </c>
      <c r="DJ164" s="2" t="s">
        <v>3</v>
      </c>
      <c r="DK164" s="2" t="s">
        <v>3</v>
      </c>
      <c r="DL164" s="2" t="s">
        <v>3</v>
      </c>
      <c r="DM164" s="2" t="s">
        <v>3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265</v>
      </c>
      <c r="DW164" s="2" t="s">
        <v>265</v>
      </c>
      <c r="DX164" s="2">
        <v>1</v>
      </c>
      <c r="DY164" s="2"/>
      <c r="DZ164" s="2" t="s">
        <v>3</v>
      </c>
      <c r="EA164" s="2" t="s">
        <v>3</v>
      </c>
      <c r="EB164" s="2" t="s">
        <v>3</v>
      </c>
      <c r="EC164" s="2" t="s">
        <v>3</v>
      </c>
      <c r="ED164" s="2"/>
      <c r="EE164" s="2">
        <v>55471915</v>
      </c>
      <c r="EF164" s="2">
        <v>19</v>
      </c>
      <c r="EG164" s="2" t="s">
        <v>267</v>
      </c>
      <c r="EH164" s="2">
        <v>106</v>
      </c>
      <c r="EI164" s="2" t="s">
        <v>267</v>
      </c>
      <c r="EJ164" s="2">
        <v>1</v>
      </c>
      <c r="EK164" s="2">
        <v>700004</v>
      </c>
      <c r="EL164" s="2" t="s">
        <v>267</v>
      </c>
      <c r="EM164" s="2" t="s">
        <v>268</v>
      </c>
      <c r="EN164" s="2"/>
      <c r="EO164" s="2" t="s">
        <v>3</v>
      </c>
      <c r="EP164" s="2"/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>
        <v>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>ROUND(IF(AND(BH164=3,BI164=3),P164,0),2)</f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3</v>
      </c>
      <c r="GB164" s="2"/>
      <c r="GC164" s="2"/>
      <c r="GD164" s="2">
        <v>1</v>
      </c>
      <c r="GE164" s="2"/>
      <c r="GF164" s="2">
        <v>-441336689</v>
      </c>
      <c r="GG164" s="2">
        <v>2</v>
      </c>
      <c r="GH164" s="2">
        <v>1</v>
      </c>
      <c r="GI164" s="2">
        <v>-2</v>
      </c>
      <c r="GJ164" s="2">
        <v>2</v>
      </c>
      <c r="GK164" s="2">
        <v>0</v>
      </c>
      <c r="GL164" s="2">
        <f>ROUND(IF(AND(BH164=3,BI164=3,FS164&lt;&gt;0),P164,0),2)</f>
        <v>0</v>
      </c>
      <c r="GM164" s="2">
        <f>ROUND(CP164*I164,2)</f>
        <v>764.18</v>
      </c>
      <c r="GN164" s="2">
        <f>IF(OR(BI164=0,BI164=1),ROUND(CP164*I164,2),0)</f>
        <v>764.18</v>
      </c>
      <c r="GO164" s="2">
        <f>IF(BI164=2,ROUND(CP164*I164,2),0)</f>
        <v>0</v>
      </c>
      <c r="GP164" s="2">
        <f>IF(BI164=4,ROUND(CP164*I164,2)+GX164,0)</f>
        <v>0</v>
      </c>
      <c r="GQ164" s="2"/>
      <c r="GR164" s="2">
        <v>0</v>
      </c>
      <c r="GS164" s="2">
        <v>3</v>
      </c>
      <c r="GT164" s="2">
        <v>0</v>
      </c>
      <c r="GU164" s="2" t="s">
        <v>3</v>
      </c>
      <c r="GV164" s="2">
        <f>0</f>
        <v>0</v>
      </c>
      <c r="GW164" s="2">
        <v>1</v>
      </c>
      <c r="GX164" s="2">
        <f>0</f>
        <v>0</v>
      </c>
      <c r="GY164" s="2"/>
      <c r="GZ164" s="2"/>
      <c r="HA164" s="2">
        <v>0</v>
      </c>
      <c r="HB164" s="2">
        <v>0</v>
      </c>
      <c r="HC164" s="2">
        <v>0</v>
      </c>
      <c r="HD164" s="2">
        <f>GM164</f>
        <v>764.18</v>
      </c>
      <c r="HE164" s="2" t="s">
        <v>3</v>
      </c>
      <c r="HF164" s="2" t="s">
        <v>3</v>
      </c>
      <c r="HG164" s="2"/>
      <c r="HH164" s="2"/>
      <c r="HI164" s="2">
        <f>ROUND(R164*BS164,2)</f>
        <v>0</v>
      </c>
      <c r="HJ164" s="2">
        <f>ROUND(S164*BA164,2)</f>
        <v>0</v>
      </c>
      <c r="HK164" s="2"/>
      <c r="HL164" s="2"/>
      <c r="HM164" s="2" t="s">
        <v>3</v>
      </c>
      <c r="HN164" s="2" t="s">
        <v>3</v>
      </c>
      <c r="HO164" s="2" t="s">
        <v>3</v>
      </c>
      <c r="HP164" s="2" t="s">
        <v>3</v>
      </c>
      <c r="HQ164" s="2" t="s">
        <v>3</v>
      </c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45" ht="12.75">
      <c r="A165">
        <v>17</v>
      </c>
      <c r="B165">
        <v>1</v>
      </c>
      <c r="E165" t="s">
        <v>262</v>
      </c>
      <c r="F165" t="s">
        <v>263</v>
      </c>
      <c r="G165" t="s">
        <v>264</v>
      </c>
      <c r="H165" t="s">
        <v>265</v>
      </c>
      <c r="I165">
        <v>17.78</v>
      </c>
      <c r="J165">
        <v>0</v>
      </c>
      <c r="K165">
        <v>17.78</v>
      </c>
      <c r="O165">
        <f>0</f>
        <v>0</v>
      </c>
      <c r="P165">
        <f>0</f>
        <v>0</v>
      </c>
      <c r="Q165">
        <f>0</f>
        <v>0</v>
      </c>
      <c r="R165">
        <f>0</f>
        <v>0</v>
      </c>
      <c r="S165">
        <f>0</f>
        <v>0</v>
      </c>
      <c r="T165">
        <f>0</f>
        <v>0</v>
      </c>
      <c r="U165">
        <f>0</f>
        <v>0</v>
      </c>
      <c r="V165">
        <f>0</f>
        <v>0</v>
      </c>
      <c r="W165">
        <f>0</f>
        <v>0</v>
      </c>
      <c r="X165">
        <f>0</f>
        <v>0</v>
      </c>
      <c r="Y165">
        <f>0</f>
        <v>0</v>
      </c>
      <c r="AA165">
        <v>55463412</v>
      </c>
      <c r="AB165">
        <f>ROUND((AK165),2)</f>
        <v>42.98</v>
      </c>
      <c r="AC165">
        <f>0</f>
        <v>0</v>
      </c>
      <c r="AD165">
        <f>0</f>
        <v>0</v>
      </c>
      <c r="AE165">
        <f>0</f>
        <v>0</v>
      </c>
      <c r="AF165">
        <f>0</f>
        <v>0</v>
      </c>
      <c r="AG165">
        <f>0</f>
        <v>0</v>
      </c>
      <c r="AH165">
        <f>0</f>
        <v>0</v>
      </c>
      <c r="AI165">
        <f>0</f>
        <v>0</v>
      </c>
      <c r="AJ165">
        <f>0</f>
        <v>0</v>
      </c>
      <c r="AK165">
        <v>42.98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1</v>
      </c>
      <c r="BH165">
        <v>0</v>
      </c>
      <c r="BI165">
        <v>1</v>
      </c>
      <c r="BJ165" t="s">
        <v>266</v>
      </c>
      <c r="BM165">
        <v>700004</v>
      </c>
      <c r="BN165">
        <v>0</v>
      </c>
      <c r="BO165" t="s">
        <v>32</v>
      </c>
      <c r="BP165">
        <v>1</v>
      </c>
      <c r="BQ165">
        <v>19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0</v>
      </c>
      <c r="CA165">
        <v>0</v>
      </c>
      <c r="CE165">
        <v>0</v>
      </c>
      <c r="CF165">
        <v>0</v>
      </c>
      <c r="CG165">
        <v>0</v>
      </c>
      <c r="CM165">
        <v>0</v>
      </c>
      <c r="CO165">
        <v>0</v>
      </c>
      <c r="CP165">
        <f>AB165*AZ165</f>
        <v>42.98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265</v>
      </c>
      <c r="DW165" t="s">
        <v>265</v>
      </c>
      <c r="DX165">
        <v>1</v>
      </c>
      <c r="EE165">
        <v>55471915</v>
      </c>
      <c r="EF165">
        <v>19</v>
      </c>
      <c r="EG165" t="s">
        <v>267</v>
      </c>
      <c r="EH165">
        <v>106</v>
      </c>
      <c r="EI165" t="s">
        <v>267</v>
      </c>
      <c r="EJ165">
        <v>1</v>
      </c>
      <c r="EK165">
        <v>700004</v>
      </c>
      <c r="EL165" t="s">
        <v>267</v>
      </c>
      <c r="EM165" t="s">
        <v>268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FQ165">
        <v>0</v>
      </c>
      <c r="FR165">
        <f>ROUND(IF(AND(BH165=3,BI165=3),P165,0),2)</f>
        <v>0</v>
      </c>
      <c r="FS165">
        <v>0</v>
      </c>
      <c r="FX165">
        <v>0</v>
      </c>
      <c r="FY165">
        <v>0</v>
      </c>
      <c r="GD165">
        <v>1</v>
      </c>
      <c r="GF165">
        <v>-441336689</v>
      </c>
      <c r="GG165">
        <v>2</v>
      </c>
      <c r="GH165">
        <v>1</v>
      </c>
      <c r="GI165">
        <v>4</v>
      </c>
      <c r="GJ165">
        <v>2</v>
      </c>
      <c r="GK165">
        <v>0</v>
      </c>
      <c r="GL165">
        <f>ROUND(IF(AND(BH165=3,BI165=3,FS165&lt;&gt;0),P165,0),2)</f>
        <v>0</v>
      </c>
      <c r="GM165">
        <f>ROUND(CP165*I165,2)</f>
        <v>764.18</v>
      </c>
      <c r="GN165">
        <f>IF(OR(BI165=0,BI165=1),ROUND(CP165*I165,2),0)</f>
        <v>764.18</v>
      </c>
      <c r="GO165">
        <f>IF(BI165=2,ROUND(CP165*I165,2),0)</f>
        <v>0</v>
      </c>
      <c r="GP165">
        <f>IF(BI165=4,ROUND(CP165*I165,2)+GX165,0)</f>
        <v>0</v>
      </c>
      <c r="GR165">
        <v>0</v>
      </c>
      <c r="GS165">
        <v>0</v>
      </c>
      <c r="GT165">
        <v>0</v>
      </c>
      <c r="GV165">
        <f>0</f>
        <v>0</v>
      </c>
      <c r="GW165">
        <v>1</v>
      </c>
      <c r="GX165">
        <f>0</f>
        <v>0</v>
      </c>
      <c r="HA165">
        <v>0</v>
      </c>
      <c r="HB165">
        <v>0</v>
      </c>
      <c r="HC165">
        <v>0</v>
      </c>
      <c r="HD165">
        <f>GM165</f>
        <v>764.18</v>
      </c>
      <c r="HI165">
        <f>ROUND(R165*BS165,2)</f>
        <v>0</v>
      </c>
      <c r="HJ165">
        <f>ROUND(S165*BA165,2)</f>
        <v>0</v>
      </c>
      <c r="IK165">
        <v>0</v>
      </c>
    </row>
    <row r="166" spans="1:255" ht="12.75">
      <c r="A166" s="2">
        <v>17</v>
      </c>
      <c r="B166" s="2">
        <v>1</v>
      </c>
      <c r="C166" s="2"/>
      <c r="D166" s="2"/>
      <c r="E166" s="2" t="s">
        <v>269</v>
      </c>
      <c r="F166" s="2" t="s">
        <v>270</v>
      </c>
      <c r="G166" s="2" t="s">
        <v>271</v>
      </c>
      <c r="H166" s="2" t="s">
        <v>265</v>
      </c>
      <c r="I166" s="2">
        <v>17.78</v>
      </c>
      <c r="J166" s="2">
        <v>0</v>
      </c>
      <c r="K166" s="2">
        <v>17.78</v>
      </c>
      <c r="L166" s="2"/>
      <c r="M166" s="2"/>
      <c r="N166" s="2"/>
      <c r="O166" s="2">
        <f>0</f>
        <v>0</v>
      </c>
      <c r="P166" s="2">
        <f>0</f>
        <v>0</v>
      </c>
      <c r="Q166" s="2">
        <f>0</f>
        <v>0</v>
      </c>
      <c r="R166" s="2">
        <f>0</f>
        <v>0</v>
      </c>
      <c r="S166" s="2">
        <f>0</f>
        <v>0</v>
      </c>
      <c r="T166" s="2">
        <f>0</f>
        <v>0</v>
      </c>
      <c r="U166" s="2">
        <f>0</f>
        <v>0</v>
      </c>
      <c r="V166" s="2">
        <f>0</f>
        <v>0</v>
      </c>
      <c r="W166" s="2">
        <f>0</f>
        <v>0</v>
      </c>
      <c r="X166" s="2">
        <f>0</f>
        <v>0</v>
      </c>
      <c r="Y166" s="2">
        <f>0</f>
        <v>0</v>
      </c>
      <c r="Z166" s="2"/>
      <c r="AA166" s="2">
        <v>55463411</v>
      </c>
      <c r="AB166" s="2">
        <f>ROUND((AK166),2)</f>
        <v>26.69</v>
      </c>
      <c r="AC166" s="2">
        <f>0</f>
        <v>0</v>
      </c>
      <c r="AD166" s="2">
        <f>0</f>
        <v>0</v>
      </c>
      <c r="AE166" s="2">
        <f>0</f>
        <v>0</v>
      </c>
      <c r="AF166" s="2">
        <f>0</f>
        <v>0</v>
      </c>
      <c r="AG166" s="2">
        <f>0</f>
        <v>0</v>
      </c>
      <c r="AH166" s="2">
        <f>0</f>
        <v>0</v>
      </c>
      <c r="AI166" s="2">
        <f>0</f>
        <v>0</v>
      </c>
      <c r="AJ166" s="2">
        <f>0</f>
        <v>0</v>
      </c>
      <c r="AK166" s="2">
        <v>26.69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3</v>
      </c>
      <c r="BE166" s="2" t="s">
        <v>3</v>
      </c>
      <c r="BF166" s="2" t="s">
        <v>3</v>
      </c>
      <c r="BG166" s="2" t="s">
        <v>3</v>
      </c>
      <c r="BH166" s="2">
        <v>0</v>
      </c>
      <c r="BI166" s="2">
        <v>1</v>
      </c>
      <c r="BJ166" s="2" t="s">
        <v>272</v>
      </c>
      <c r="BK166" s="2"/>
      <c r="BL166" s="2"/>
      <c r="BM166" s="2">
        <v>700005</v>
      </c>
      <c r="BN166" s="2">
        <v>0</v>
      </c>
      <c r="BO166" s="2" t="s">
        <v>3</v>
      </c>
      <c r="BP166" s="2">
        <v>0</v>
      </c>
      <c r="BQ166" s="2">
        <v>10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3</v>
      </c>
      <c r="BZ166" s="2">
        <v>0</v>
      </c>
      <c r="CA166" s="2">
        <v>0</v>
      </c>
      <c r="CB166" s="2" t="s">
        <v>3</v>
      </c>
      <c r="CC166" s="2"/>
      <c r="CD166" s="2"/>
      <c r="CE166" s="2">
        <v>0</v>
      </c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3</v>
      </c>
      <c r="CO166" s="2">
        <v>0</v>
      </c>
      <c r="CP166" s="2">
        <f>AB166*AZ166</f>
        <v>26.69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/>
      <c r="DB166" s="2"/>
      <c r="DC166" s="2" t="s">
        <v>3</v>
      </c>
      <c r="DD166" s="2" t="s">
        <v>3</v>
      </c>
      <c r="DE166" s="2" t="s">
        <v>3</v>
      </c>
      <c r="DF166" s="2" t="s">
        <v>3</v>
      </c>
      <c r="DG166" s="2" t="s">
        <v>3</v>
      </c>
      <c r="DH166" s="2" t="s">
        <v>3</v>
      </c>
      <c r="DI166" s="2" t="s">
        <v>3</v>
      </c>
      <c r="DJ166" s="2" t="s">
        <v>3</v>
      </c>
      <c r="DK166" s="2" t="s">
        <v>3</v>
      </c>
      <c r="DL166" s="2" t="s">
        <v>3</v>
      </c>
      <c r="DM166" s="2" t="s">
        <v>3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1013</v>
      </c>
      <c r="DV166" s="2" t="s">
        <v>265</v>
      </c>
      <c r="DW166" s="2" t="s">
        <v>265</v>
      </c>
      <c r="DX166" s="2">
        <v>1</v>
      </c>
      <c r="DY166" s="2"/>
      <c r="DZ166" s="2" t="s">
        <v>3</v>
      </c>
      <c r="EA166" s="2" t="s">
        <v>3</v>
      </c>
      <c r="EB166" s="2" t="s">
        <v>3</v>
      </c>
      <c r="EC166" s="2" t="s">
        <v>3</v>
      </c>
      <c r="ED166" s="2"/>
      <c r="EE166" s="2">
        <v>55471919</v>
      </c>
      <c r="EF166" s="2">
        <v>10</v>
      </c>
      <c r="EG166" s="2" t="s">
        <v>273</v>
      </c>
      <c r="EH166" s="2">
        <v>107</v>
      </c>
      <c r="EI166" s="2" t="s">
        <v>274</v>
      </c>
      <c r="EJ166" s="2">
        <v>1</v>
      </c>
      <c r="EK166" s="2">
        <v>700005</v>
      </c>
      <c r="EL166" s="2" t="s">
        <v>274</v>
      </c>
      <c r="EM166" s="2" t="s">
        <v>275</v>
      </c>
      <c r="EN166" s="2"/>
      <c r="EO166" s="2" t="s">
        <v>3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>ROUND(IF(AND(BH166=3,BI166=3),P166,0),2)</f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3</v>
      </c>
      <c r="GB166" s="2"/>
      <c r="GC166" s="2"/>
      <c r="GD166" s="2">
        <v>1</v>
      </c>
      <c r="GE166" s="2"/>
      <c r="GF166" s="2">
        <v>627129972</v>
      </c>
      <c r="GG166" s="2">
        <v>2</v>
      </c>
      <c r="GH166" s="2">
        <v>1</v>
      </c>
      <c r="GI166" s="2">
        <v>-2</v>
      </c>
      <c r="GJ166" s="2">
        <v>2</v>
      </c>
      <c r="GK166" s="2">
        <v>0</v>
      </c>
      <c r="GL166" s="2">
        <f>ROUND(IF(AND(BH166=3,BI166=3,FS166&lt;&gt;0),P166,0),2)</f>
        <v>0</v>
      </c>
      <c r="GM166" s="2">
        <f>ROUND(CP166*I166,2)</f>
        <v>474.55</v>
      </c>
      <c r="GN166" s="2">
        <f>IF(OR(BI166=0,BI166=1),ROUND(CP166*I166,2),0)</f>
        <v>474.55</v>
      </c>
      <c r="GO166" s="2">
        <f>IF(BI166=2,ROUND(CP166*I166,2),0)</f>
        <v>0</v>
      </c>
      <c r="GP166" s="2">
        <f>IF(BI166=4,ROUND(CP166*I166,2)+GX166,0)</f>
        <v>0</v>
      </c>
      <c r="GQ166" s="2"/>
      <c r="GR166" s="2">
        <v>0</v>
      </c>
      <c r="GS166" s="2">
        <v>3</v>
      </c>
      <c r="GT166" s="2">
        <v>0</v>
      </c>
      <c r="GU166" s="2" t="s">
        <v>3</v>
      </c>
      <c r="GV166" s="2">
        <f>0</f>
        <v>0</v>
      </c>
      <c r="GW166" s="2">
        <v>1</v>
      </c>
      <c r="GX166" s="2">
        <f>0</f>
        <v>0</v>
      </c>
      <c r="GY166" s="2"/>
      <c r="GZ166" s="2"/>
      <c r="HA166" s="2">
        <v>0</v>
      </c>
      <c r="HB166" s="2">
        <v>0</v>
      </c>
      <c r="HC166" s="2">
        <v>0</v>
      </c>
      <c r="HD166" s="2">
        <f>GM166</f>
        <v>474.55</v>
      </c>
      <c r="HE166" s="2" t="s">
        <v>3</v>
      </c>
      <c r="HF166" s="2" t="s">
        <v>3</v>
      </c>
      <c r="HG166" s="2"/>
      <c r="HH166" s="2"/>
      <c r="HI166" s="2">
        <f>ROUND(R166*BS166,2)</f>
        <v>0</v>
      </c>
      <c r="HJ166" s="2">
        <f>ROUND(S166*BA166,2)</f>
        <v>0</v>
      </c>
      <c r="HK166" s="2"/>
      <c r="HL166" s="2"/>
      <c r="HM166" s="2" t="s">
        <v>3</v>
      </c>
      <c r="HN166" s="2" t="s">
        <v>3</v>
      </c>
      <c r="HO166" s="2" t="s">
        <v>3</v>
      </c>
      <c r="HP166" s="2" t="s">
        <v>3</v>
      </c>
      <c r="HQ166" s="2" t="s">
        <v>3</v>
      </c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45" ht="12.75">
      <c r="A167">
        <v>17</v>
      </c>
      <c r="B167">
        <v>1</v>
      </c>
      <c r="E167" t="s">
        <v>269</v>
      </c>
      <c r="F167" t="s">
        <v>270</v>
      </c>
      <c r="G167" t="s">
        <v>271</v>
      </c>
      <c r="H167" t="s">
        <v>265</v>
      </c>
      <c r="I167">
        <v>17.78</v>
      </c>
      <c r="J167">
        <v>0</v>
      </c>
      <c r="K167">
        <v>17.78</v>
      </c>
      <c r="O167">
        <f>0</f>
        <v>0</v>
      </c>
      <c r="P167">
        <f>0</f>
        <v>0</v>
      </c>
      <c r="Q167">
        <f>0</f>
        <v>0</v>
      </c>
      <c r="R167">
        <f>0</f>
        <v>0</v>
      </c>
      <c r="S167">
        <f>0</f>
        <v>0</v>
      </c>
      <c r="T167">
        <f>0</f>
        <v>0</v>
      </c>
      <c r="U167">
        <f>0</f>
        <v>0</v>
      </c>
      <c r="V167">
        <f>0</f>
        <v>0</v>
      </c>
      <c r="W167">
        <f>0</f>
        <v>0</v>
      </c>
      <c r="X167">
        <f>0</f>
        <v>0</v>
      </c>
      <c r="Y167">
        <f>0</f>
        <v>0</v>
      </c>
      <c r="AA167">
        <v>55463412</v>
      </c>
      <c r="AB167">
        <f>ROUND((AK167),2)</f>
        <v>26.69</v>
      </c>
      <c r="AC167">
        <f>0</f>
        <v>0</v>
      </c>
      <c r="AD167">
        <f>0</f>
        <v>0</v>
      </c>
      <c r="AE167">
        <f>0</f>
        <v>0</v>
      </c>
      <c r="AF167">
        <f>0</f>
        <v>0</v>
      </c>
      <c r="AG167">
        <f>0</f>
        <v>0</v>
      </c>
      <c r="AH167">
        <f>0</f>
        <v>0</v>
      </c>
      <c r="AI167">
        <f>0</f>
        <v>0</v>
      </c>
      <c r="AJ167">
        <f>0</f>
        <v>0</v>
      </c>
      <c r="AK167">
        <v>26.69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1</v>
      </c>
      <c r="BH167">
        <v>0</v>
      </c>
      <c r="BI167">
        <v>1</v>
      </c>
      <c r="BJ167" t="s">
        <v>272</v>
      </c>
      <c r="BM167">
        <v>700005</v>
      </c>
      <c r="BN167">
        <v>0</v>
      </c>
      <c r="BO167" t="s">
        <v>32</v>
      </c>
      <c r="BP167">
        <v>1</v>
      </c>
      <c r="BQ167">
        <v>10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0</v>
      </c>
      <c r="CA167">
        <v>0</v>
      </c>
      <c r="CE167">
        <v>0</v>
      </c>
      <c r="CF167">
        <v>0</v>
      </c>
      <c r="CG167">
        <v>0</v>
      </c>
      <c r="CM167">
        <v>0</v>
      </c>
      <c r="CO167">
        <v>0</v>
      </c>
      <c r="CP167">
        <f>AB167*AZ167</f>
        <v>26.69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265</v>
      </c>
      <c r="DW167" t="s">
        <v>265</v>
      </c>
      <c r="DX167">
        <v>1</v>
      </c>
      <c r="EE167">
        <v>55471919</v>
      </c>
      <c r="EF167">
        <v>10</v>
      </c>
      <c r="EG167" t="s">
        <v>273</v>
      </c>
      <c r="EH167">
        <v>107</v>
      </c>
      <c r="EI167" t="s">
        <v>274</v>
      </c>
      <c r="EJ167">
        <v>1</v>
      </c>
      <c r="EK167">
        <v>700005</v>
      </c>
      <c r="EL167" t="s">
        <v>274</v>
      </c>
      <c r="EM167" t="s">
        <v>275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FQ167">
        <v>0</v>
      </c>
      <c r="FR167">
        <f>ROUND(IF(AND(BH167=3,BI167=3),P167,0),2)</f>
        <v>0</v>
      </c>
      <c r="FS167">
        <v>0</v>
      </c>
      <c r="FX167">
        <v>0</v>
      </c>
      <c r="FY167">
        <v>0</v>
      </c>
      <c r="GD167">
        <v>1</v>
      </c>
      <c r="GF167">
        <v>627129972</v>
      </c>
      <c r="GG167">
        <v>2</v>
      </c>
      <c r="GH167">
        <v>1</v>
      </c>
      <c r="GI167">
        <v>4</v>
      </c>
      <c r="GJ167">
        <v>2</v>
      </c>
      <c r="GK167">
        <v>0</v>
      </c>
      <c r="GL167">
        <f>ROUND(IF(AND(BH167=3,BI167=3,FS167&lt;&gt;0),P167,0),2)</f>
        <v>0</v>
      </c>
      <c r="GM167">
        <f>ROUND(CP167*I167,2)</f>
        <v>474.55</v>
      </c>
      <c r="GN167">
        <f>IF(OR(BI167=0,BI167=1),ROUND(CP167*I167,2),0)</f>
        <v>474.55</v>
      </c>
      <c r="GO167">
        <f>IF(BI167=2,ROUND(CP167*I167,2),0)</f>
        <v>0</v>
      </c>
      <c r="GP167">
        <f>IF(BI167=4,ROUND(CP167*I167,2)+GX167,0)</f>
        <v>0</v>
      </c>
      <c r="GR167">
        <v>0</v>
      </c>
      <c r="GS167">
        <v>0</v>
      </c>
      <c r="GT167">
        <v>0</v>
      </c>
      <c r="GV167">
        <f>0</f>
        <v>0</v>
      </c>
      <c r="GW167">
        <v>1</v>
      </c>
      <c r="GX167">
        <f>0</f>
        <v>0</v>
      </c>
      <c r="HA167">
        <v>0</v>
      </c>
      <c r="HB167">
        <v>0</v>
      </c>
      <c r="HC167">
        <v>0</v>
      </c>
      <c r="HD167">
        <f>GM167</f>
        <v>474.55</v>
      </c>
      <c r="HI167">
        <f>ROUND(R167*BS167,2)</f>
        <v>0</v>
      </c>
      <c r="HJ167">
        <f>ROUND(S167*BA167,2)</f>
        <v>0</v>
      </c>
      <c r="IK167">
        <v>0</v>
      </c>
    </row>
    <row r="169" spans="1:206" ht="12.75">
      <c r="A169" s="3">
        <v>51</v>
      </c>
      <c r="B169" s="3">
        <f>B160</f>
        <v>1</v>
      </c>
      <c r="C169" s="3">
        <f>A160</f>
        <v>4</v>
      </c>
      <c r="D169" s="3">
        <f>ROW(A160)</f>
        <v>160</v>
      </c>
      <c r="E169" s="3"/>
      <c r="F169" s="3" t="str">
        <f>IF(F160&lt;&gt;"",F160,"")</f>
        <v>Новый раздел</v>
      </c>
      <c r="G169" s="3" t="str">
        <f>IF(G160&lt;&gt;"",G160,"")</f>
        <v>Разные работы</v>
      </c>
      <c r="H169" s="3">
        <v>0</v>
      </c>
      <c r="I169" s="3"/>
      <c r="J169" s="3"/>
      <c r="K169" s="3"/>
      <c r="L169" s="3"/>
      <c r="M169" s="3"/>
      <c r="N169" s="3"/>
      <c r="O169" s="3">
        <f aca="true" t="shared" si="177" ref="O169:T169">ROUND(AB169,2)</f>
        <v>0</v>
      </c>
      <c r="P169" s="3">
        <f t="shared" si="177"/>
        <v>0</v>
      </c>
      <c r="Q169" s="3">
        <f t="shared" si="177"/>
        <v>0</v>
      </c>
      <c r="R169" s="3">
        <f t="shared" si="177"/>
        <v>0</v>
      </c>
      <c r="S169" s="3">
        <f t="shared" si="177"/>
        <v>0</v>
      </c>
      <c r="T169" s="3">
        <f t="shared" si="177"/>
        <v>0</v>
      </c>
      <c r="U169" s="3">
        <f>AH169</f>
        <v>0</v>
      </c>
      <c r="V169" s="3">
        <f>AI169</f>
        <v>0</v>
      </c>
      <c r="W169" s="3">
        <f>ROUND(AJ169,2)</f>
        <v>0</v>
      </c>
      <c r="X169" s="3">
        <f>ROUND(AK169,2)</f>
        <v>0</v>
      </c>
      <c r="Y169" s="3">
        <f>ROUND(AL169,2)</f>
        <v>0</v>
      </c>
      <c r="Z169" s="3"/>
      <c r="AA169" s="3"/>
      <c r="AB169" s="3">
        <f>ROUND(SUMIF(AA164:AA167,"=55463411",O164:O167),2)</f>
        <v>0</v>
      </c>
      <c r="AC169" s="3">
        <f>ROUND(SUMIF(AA164:AA167,"=55463411",P164:P167),2)</f>
        <v>0</v>
      </c>
      <c r="AD169" s="3">
        <f>ROUND(SUMIF(AA164:AA167,"=55463411",Q164:Q167),2)</f>
        <v>0</v>
      </c>
      <c r="AE169" s="3">
        <f>ROUND(SUMIF(AA164:AA167,"=55463411",R164:R167),2)</f>
        <v>0</v>
      </c>
      <c r="AF169" s="3">
        <f>ROUND(SUMIF(AA164:AA167,"=55463411",S164:S167),2)</f>
        <v>0</v>
      </c>
      <c r="AG169" s="3">
        <f>ROUND(SUMIF(AA164:AA167,"=55463411",T164:T167),2)</f>
        <v>0</v>
      </c>
      <c r="AH169" s="3">
        <f>SUMIF(AA164:AA167,"=55463411",U164:U167)</f>
        <v>0</v>
      </c>
      <c r="AI169" s="3">
        <f>SUMIF(AA164:AA167,"=55463411",V164:V167)</f>
        <v>0</v>
      </c>
      <c r="AJ169" s="3">
        <f>ROUND(SUMIF(AA164:AA167,"=55463411",W164:W167),2)</f>
        <v>0</v>
      </c>
      <c r="AK169" s="3">
        <f>ROUND(SUMIF(AA164:AA167,"=55463411",X164:X167),2)</f>
        <v>0</v>
      </c>
      <c r="AL169" s="3">
        <f>ROUND(SUMIF(AA164:AA167,"=55463411",Y164:Y167),2)</f>
        <v>0</v>
      </c>
      <c r="AM169" s="3"/>
      <c r="AN169" s="3"/>
      <c r="AO169" s="3">
        <f aca="true" t="shared" si="178" ref="AO169:BD169">ROUND(BX169,2)</f>
        <v>0</v>
      </c>
      <c r="AP169" s="3">
        <f t="shared" si="178"/>
        <v>0</v>
      </c>
      <c r="AQ169" s="3">
        <f t="shared" si="178"/>
        <v>0</v>
      </c>
      <c r="AR169" s="3">
        <f t="shared" si="178"/>
        <v>1238.73</v>
      </c>
      <c r="AS169" s="3">
        <f t="shared" si="178"/>
        <v>1238.73</v>
      </c>
      <c r="AT169" s="3">
        <f t="shared" si="178"/>
        <v>0</v>
      </c>
      <c r="AU169" s="3">
        <f t="shared" si="178"/>
        <v>0</v>
      </c>
      <c r="AV169" s="3">
        <f t="shared" si="178"/>
        <v>0</v>
      </c>
      <c r="AW169" s="3">
        <f t="shared" si="178"/>
        <v>0</v>
      </c>
      <c r="AX169" s="3">
        <f t="shared" si="178"/>
        <v>0</v>
      </c>
      <c r="AY169" s="3">
        <f t="shared" si="178"/>
        <v>0</v>
      </c>
      <c r="AZ169" s="3">
        <f t="shared" si="178"/>
        <v>0</v>
      </c>
      <c r="BA169" s="3">
        <f t="shared" si="178"/>
        <v>0</v>
      </c>
      <c r="BB169" s="3">
        <f t="shared" si="178"/>
        <v>0</v>
      </c>
      <c r="BC169" s="3">
        <f t="shared" si="178"/>
        <v>0</v>
      </c>
      <c r="BD169" s="3">
        <f t="shared" si="178"/>
        <v>1238.73</v>
      </c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>
        <f>ROUND(SUMIF(AA164:AA167,"=55463411",FQ164:FQ167),2)</f>
        <v>0</v>
      </c>
      <c r="BY169" s="3">
        <f>ROUND(SUMIF(AA164:AA167,"=55463411",FR164:FR167),2)</f>
        <v>0</v>
      </c>
      <c r="BZ169" s="3">
        <f>ROUND(SUMIF(AA164:AA167,"=55463411",GL164:GL167),2)</f>
        <v>0</v>
      </c>
      <c r="CA169" s="3">
        <f>ROUND(SUMIF(AA164:AA167,"=55463411",GM164:GM167),2)</f>
        <v>1238.73</v>
      </c>
      <c r="CB169" s="3">
        <f>ROUND(SUMIF(AA164:AA167,"=55463411",GN164:GN167),2)</f>
        <v>1238.73</v>
      </c>
      <c r="CC169" s="3">
        <f>ROUND(SUMIF(AA164:AA167,"=55463411",GO164:GO167),2)</f>
        <v>0</v>
      </c>
      <c r="CD169" s="3">
        <f>ROUND(SUMIF(AA164:AA167,"=55463411",GP164:GP167),2)</f>
        <v>0</v>
      </c>
      <c r="CE169" s="3">
        <f>AC169-BX169</f>
        <v>0</v>
      </c>
      <c r="CF169" s="3">
        <f>AC169-BY169</f>
        <v>0</v>
      </c>
      <c r="CG169" s="3">
        <f>BX169-BZ169</f>
        <v>0</v>
      </c>
      <c r="CH169" s="3">
        <f>AC169-BX169-BY169+BZ169</f>
        <v>0</v>
      </c>
      <c r="CI169" s="3">
        <f>BY169-BZ169</f>
        <v>0</v>
      </c>
      <c r="CJ169" s="3">
        <f>ROUND(SUMIF(AA164:AA167,"=55463411",GX164:GX167),2)</f>
        <v>0</v>
      </c>
      <c r="CK169" s="3">
        <f>ROUND(SUMIF(AA164:AA167,"=55463411",GY164:GY167),2)</f>
        <v>0</v>
      </c>
      <c r="CL169" s="3">
        <f>ROUND(SUMIF(AA164:AA167,"=55463411",GZ164:GZ167),2)</f>
        <v>0</v>
      </c>
      <c r="CM169" s="3">
        <f>ROUND(SUMIF(AA164:AA167,"=55463411",HD164:HD167),2)</f>
        <v>1238.73</v>
      </c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4">
        <f aca="true" t="shared" si="179" ref="DG169:DL169">ROUND(DT169,2)</f>
        <v>0</v>
      </c>
      <c r="DH169" s="4">
        <f t="shared" si="179"/>
        <v>0</v>
      </c>
      <c r="DI169" s="4">
        <f t="shared" si="179"/>
        <v>0</v>
      </c>
      <c r="DJ169" s="4">
        <f t="shared" si="179"/>
        <v>0</v>
      </c>
      <c r="DK169" s="4">
        <f t="shared" si="179"/>
        <v>0</v>
      </c>
      <c r="DL169" s="4">
        <f t="shared" si="179"/>
        <v>0</v>
      </c>
      <c r="DM169" s="4">
        <f>DZ169</f>
        <v>0</v>
      </c>
      <c r="DN169" s="4">
        <f>EA169</f>
        <v>0</v>
      </c>
      <c r="DO169" s="4">
        <f>ROUND(EB169,2)</f>
        <v>0</v>
      </c>
      <c r="DP169" s="4">
        <f>ROUND(EC169,2)</f>
        <v>0</v>
      </c>
      <c r="DQ169" s="4">
        <f>ROUND(ED169,2)</f>
        <v>0</v>
      </c>
      <c r="DR169" s="4"/>
      <c r="DS169" s="4"/>
      <c r="DT169" s="4">
        <f>ROUND(SUMIF(AA164:AA167,"=55463412",O164:O167),2)</f>
        <v>0</v>
      </c>
      <c r="DU169" s="4">
        <f>ROUND(SUMIF(AA164:AA167,"=55463412",P164:P167),2)</f>
        <v>0</v>
      </c>
      <c r="DV169" s="4">
        <f>ROUND(SUMIF(AA164:AA167,"=55463412",Q164:Q167),2)</f>
        <v>0</v>
      </c>
      <c r="DW169" s="4">
        <f>ROUND(SUMIF(AA164:AA167,"=55463412",R164:R167),2)</f>
        <v>0</v>
      </c>
      <c r="DX169" s="4">
        <f>ROUND(SUMIF(AA164:AA167,"=55463412",S164:S167),2)</f>
        <v>0</v>
      </c>
      <c r="DY169" s="4">
        <f>ROUND(SUMIF(AA164:AA167,"=55463412",T164:T167),2)</f>
        <v>0</v>
      </c>
      <c r="DZ169" s="4">
        <f>SUMIF(AA164:AA167,"=55463412",U164:U167)</f>
        <v>0</v>
      </c>
      <c r="EA169" s="4">
        <f>SUMIF(AA164:AA167,"=55463412",V164:V167)</f>
        <v>0</v>
      </c>
      <c r="EB169" s="4">
        <f>ROUND(SUMIF(AA164:AA167,"=55463412",W164:W167),2)</f>
        <v>0</v>
      </c>
      <c r="EC169" s="4">
        <f>ROUND(SUMIF(AA164:AA167,"=55463412",X164:X167),2)</f>
        <v>0</v>
      </c>
      <c r="ED169" s="4">
        <f>ROUND(SUMIF(AA164:AA167,"=55463412",Y164:Y167),2)</f>
        <v>0</v>
      </c>
      <c r="EE169" s="4"/>
      <c r="EF169" s="4"/>
      <c r="EG169" s="4">
        <f aca="true" t="shared" si="180" ref="EG169:EV169">ROUND(FP169,2)</f>
        <v>0</v>
      </c>
      <c r="EH169" s="4">
        <f t="shared" si="180"/>
        <v>0</v>
      </c>
      <c r="EI169" s="4">
        <f t="shared" si="180"/>
        <v>0</v>
      </c>
      <c r="EJ169" s="4">
        <f t="shared" si="180"/>
        <v>1238.73</v>
      </c>
      <c r="EK169" s="4">
        <f t="shared" si="180"/>
        <v>1238.73</v>
      </c>
      <c r="EL169" s="4">
        <f t="shared" si="180"/>
        <v>0</v>
      </c>
      <c r="EM169" s="4">
        <f t="shared" si="180"/>
        <v>0</v>
      </c>
      <c r="EN169" s="4">
        <f t="shared" si="180"/>
        <v>0</v>
      </c>
      <c r="EO169" s="4">
        <f t="shared" si="180"/>
        <v>0</v>
      </c>
      <c r="EP169" s="4">
        <f t="shared" si="180"/>
        <v>0</v>
      </c>
      <c r="EQ169" s="4">
        <f t="shared" si="180"/>
        <v>0</v>
      </c>
      <c r="ER169" s="4">
        <f t="shared" si="180"/>
        <v>0</v>
      </c>
      <c r="ES169" s="4">
        <f t="shared" si="180"/>
        <v>0</v>
      </c>
      <c r="ET169" s="4">
        <f t="shared" si="180"/>
        <v>0</v>
      </c>
      <c r="EU169" s="4">
        <f t="shared" si="180"/>
        <v>0</v>
      </c>
      <c r="EV169" s="4">
        <f t="shared" si="180"/>
        <v>1238.73</v>
      </c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>
        <f>ROUND(SUMIF(AA164:AA167,"=55463412",FQ164:FQ167),2)</f>
        <v>0</v>
      </c>
      <c r="FQ169" s="4">
        <f>ROUND(SUMIF(AA164:AA167,"=55463412",FR164:FR167),2)</f>
        <v>0</v>
      </c>
      <c r="FR169" s="4">
        <f>ROUND(SUMIF(AA164:AA167,"=55463412",GL164:GL167),2)</f>
        <v>0</v>
      </c>
      <c r="FS169" s="4">
        <f>ROUND(SUMIF(AA164:AA167,"=55463412",GM164:GM167),2)</f>
        <v>1238.73</v>
      </c>
      <c r="FT169" s="4">
        <f>ROUND(SUMIF(AA164:AA167,"=55463412",GN164:GN167),2)</f>
        <v>1238.73</v>
      </c>
      <c r="FU169" s="4">
        <f>ROUND(SUMIF(AA164:AA167,"=55463412",GO164:GO167),2)</f>
        <v>0</v>
      </c>
      <c r="FV169" s="4">
        <f>ROUND(SUMIF(AA164:AA167,"=55463412",GP164:GP167),2)</f>
        <v>0</v>
      </c>
      <c r="FW169" s="4">
        <f>DU169-FP169</f>
        <v>0</v>
      </c>
      <c r="FX169" s="4">
        <f>DU169-FQ169</f>
        <v>0</v>
      </c>
      <c r="FY169" s="4">
        <f>FP169-FR169</f>
        <v>0</v>
      </c>
      <c r="FZ169" s="4">
        <f>DU169-FP169-FQ169+FR169</f>
        <v>0</v>
      </c>
      <c r="GA169" s="4">
        <f>FQ169-FR169</f>
        <v>0</v>
      </c>
      <c r="GB169" s="4">
        <f>ROUND(SUMIF(AA164:AA167,"=55463412",GX164:GX167),2)</f>
        <v>0</v>
      </c>
      <c r="GC169" s="4">
        <f>ROUND(SUMIF(AA164:AA167,"=55463412",GY164:GY167),2)</f>
        <v>0</v>
      </c>
      <c r="GD169" s="4">
        <f>ROUND(SUMIF(AA164:AA167,"=55463412",GZ164:GZ167),2)</f>
        <v>0</v>
      </c>
      <c r="GE169" s="4">
        <f>ROUND(SUMIF(AA164:AA167,"=55463412",HD164:HD167),2)</f>
        <v>1238.73</v>
      </c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>
        <v>0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201</v>
      </c>
      <c r="F171" s="5">
        <f>ROUND(Source!O169,O171)</f>
        <v>0</v>
      </c>
      <c r="G171" s="5" t="s">
        <v>67</v>
      </c>
      <c r="H171" s="5" t="s">
        <v>68</v>
      </c>
      <c r="I171" s="5"/>
      <c r="J171" s="5"/>
      <c r="K171" s="5">
        <v>201</v>
      </c>
      <c r="L171" s="5">
        <v>1</v>
      </c>
      <c r="M171" s="5">
        <v>3</v>
      </c>
      <c r="N171" s="5" t="s">
        <v>3</v>
      </c>
      <c r="O171" s="5">
        <v>2</v>
      </c>
      <c r="P171" s="5">
        <f>ROUND(Source!DG169,O171)</f>
        <v>0</v>
      </c>
      <c r="Q171" s="5"/>
      <c r="R171" s="5"/>
      <c r="S171" s="5"/>
      <c r="T171" s="5"/>
      <c r="U171" s="5"/>
      <c r="V171" s="5"/>
      <c r="W171" s="5">
        <v>1238.73</v>
      </c>
      <c r="X171" s="5">
        <v>1</v>
      </c>
      <c r="Y171" s="5">
        <v>1238.73</v>
      </c>
      <c r="Z171" s="5">
        <v>1238.73</v>
      </c>
      <c r="AA171" s="5">
        <v>1</v>
      </c>
      <c r="AB171" s="5">
        <v>16066.33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202</v>
      </c>
      <c r="F172" s="5">
        <f>ROUND(Source!P169,O172)</f>
        <v>0</v>
      </c>
      <c r="G172" s="5" t="s">
        <v>69</v>
      </c>
      <c r="H172" s="5" t="s">
        <v>70</v>
      </c>
      <c r="I172" s="5"/>
      <c r="J172" s="5"/>
      <c r="K172" s="5">
        <v>202</v>
      </c>
      <c r="L172" s="5">
        <v>2</v>
      </c>
      <c r="M172" s="5">
        <v>3</v>
      </c>
      <c r="N172" s="5" t="s">
        <v>3</v>
      </c>
      <c r="O172" s="5">
        <v>2</v>
      </c>
      <c r="P172" s="5">
        <f>ROUND(Source!DH169,O172)</f>
        <v>0</v>
      </c>
      <c r="Q172" s="5"/>
      <c r="R172" s="5"/>
      <c r="S172" s="5"/>
      <c r="T172" s="5"/>
      <c r="U172" s="5"/>
      <c r="V172" s="5"/>
      <c r="W172" s="5">
        <v>0</v>
      </c>
      <c r="X172" s="5">
        <v>1</v>
      </c>
      <c r="Y172" s="5">
        <v>0</v>
      </c>
      <c r="Z172" s="5">
        <v>0</v>
      </c>
      <c r="AA172" s="5">
        <v>1</v>
      </c>
      <c r="AB172" s="5">
        <v>0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222</v>
      </c>
      <c r="F173" s="5">
        <f>ROUND(Source!AO169,O173)</f>
        <v>0</v>
      </c>
      <c r="G173" s="5" t="s">
        <v>71</v>
      </c>
      <c r="H173" s="5" t="s">
        <v>72</v>
      </c>
      <c r="I173" s="5"/>
      <c r="J173" s="5"/>
      <c r="K173" s="5">
        <v>222</v>
      </c>
      <c r="L173" s="5">
        <v>3</v>
      </c>
      <c r="M173" s="5">
        <v>3</v>
      </c>
      <c r="N173" s="5" t="s">
        <v>3</v>
      </c>
      <c r="O173" s="5">
        <v>2</v>
      </c>
      <c r="P173" s="5">
        <f>ROUND(Source!EG169,O173)</f>
        <v>0</v>
      </c>
      <c r="Q173" s="5"/>
      <c r="R173" s="5"/>
      <c r="S173" s="5"/>
      <c r="T173" s="5"/>
      <c r="U173" s="5"/>
      <c r="V173" s="5"/>
      <c r="W173" s="5">
        <v>0</v>
      </c>
      <c r="X173" s="5">
        <v>1</v>
      </c>
      <c r="Y173" s="5">
        <v>0</v>
      </c>
      <c r="Z173" s="5">
        <v>0</v>
      </c>
      <c r="AA173" s="5">
        <v>1</v>
      </c>
      <c r="AB173" s="5">
        <v>0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225</v>
      </c>
      <c r="F174" s="5">
        <f>ROUND(Source!AV169,O174)</f>
        <v>0</v>
      </c>
      <c r="G174" s="5" t="s">
        <v>73</v>
      </c>
      <c r="H174" s="5" t="s">
        <v>74</v>
      </c>
      <c r="I174" s="5"/>
      <c r="J174" s="5"/>
      <c r="K174" s="5">
        <v>225</v>
      </c>
      <c r="L174" s="5">
        <v>4</v>
      </c>
      <c r="M174" s="5">
        <v>3</v>
      </c>
      <c r="N174" s="5" t="s">
        <v>3</v>
      </c>
      <c r="O174" s="5">
        <v>2</v>
      </c>
      <c r="P174" s="5">
        <f>ROUND(Source!EN169,O174)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1</v>
      </c>
      <c r="C175" s="5">
        <v>0</v>
      </c>
      <c r="D175" s="5">
        <v>1</v>
      </c>
      <c r="E175" s="5">
        <v>226</v>
      </c>
      <c r="F175" s="5">
        <f>ROUND(Source!AW169,O175)</f>
        <v>0</v>
      </c>
      <c r="G175" s="5" t="s">
        <v>75</v>
      </c>
      <c r="H175" s="5" t="s">
        <v>76</v>
      </c>
      <c r="I175" s="5"/>
      <c r="J175" s="5"/>
      <c r="K175" s="5">
        <v>226</v>
      </c>
      <c r="L175" s="5">
        <v>5</v>
      </c>
      <c r="M175" s="5">
        <v>0</v>
      </c>
      <c r="N175" s="5" t="s">
        <v>3</v>
      </c>
      <c r="O175" s="5">
        <v>2</v>
      </c>
      <c r="P175" s="5">
        <f>ROUND(Source!EO169,O175)</f>
        <v>0</v>
      </c>
      <c r="Q175" s="5"/>
      <c r="R175" s="5"/>
      <c r="S175" s="5"/>
      <c r="T175" s="5"/>
      <c r="U175" s="5"/>
      <c r="V175" s="5"/>
      <c r="W175" s="5">
        <v>0</v>
      </c>
      <c r="X175" s="5">
        <v>1</v>
      </c>
      <c r="Y175" s="5">
        <v>0</v>
      </c>
      <c r="Z175" s="5">
        <v>0</v>
      </c>
      <c r="AA175" s="5">
        <v>1</v>
      </c>
      <c r="AB175" s="5">
        <v>0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227</v>
      </c>
      <c r="F176" s="5">
        <f>ROUND(Source!AX169,O176)</f>
        <v>0</v>
      </c>
      <c r="G176" s="5" t="s">
        <v>77</v>
      </c>
      <c r="H176" s="5" t="s">
        <v>78</v>
      </c>
      <c r="I176" s="5"/>
      <c r="J176" s="5"/>
      <c r="K176" s="5">
        <v>227</v>
      </c>
      <c r="L176" s="5">
        <v>6</v>
      </c>
      <c r="M176" s="5">
        <v>3</v>
      </c>
      <c r="N176" s="5" t="s">
        <v>3</v>
      </c>
      <c r="O176" s="5">
        <v>2</v>
      </c>
      <c r="P176" s="5">
        <f>ROUND(Source!EP169,O176)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228</v>
      </c>
      <c r="F177" s="5">
        <f>ROUND(Source!AY169,O177)</f>
        <v>0</v>
      </c>
      <c r="G177" s="5" t="s">
        <v>79</v>
      </c>
      <c r="H177" s="5" t="s">
        <v>80</v>
      </c>
      <c r="I177" s="5"/>
      <c r="J177" s="5"/>
      <c r="K177" s="5">
        <v>228</v>
      </c>
      <c r="L177" s="5">
        <v>7</v>
      </c>
      <c r="M177" s="5">
        <v>3</v>
      </c>
      <c r="N177" s="5" t="s">
        <v>3</v>
      </c>
      <c r="O177" s="5">
        <v>2</v>
      </c>
      <c r="P177" s="5">
        <f>ROUND(Source!EQ169,O177)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216</v>
      </c>
      <c r="F178" s="5">
        <f>ROUND(Source!AP169,O178)</f>
        <v>0</v>
      </c>
      <c r="G178" s="5" t="s">
        <v>81</v>
      </c>
      <c r="H178" s="5" t="s">
        <v>82</v>
      </c>
      <c r="I178" s="5"/>
      <c r="J178" s="5"/>
      <c r="K178" s="5">
        <v>216</v>
      </c>
      <c r="L178" s="5">
        <v>8</v>
      </c>
      <c r="M178" s="5">
        <v>3</v>
      </c>
      <c r="N178" s="5" t="s">
        <v>3</v>
      </c>
      <c r="O178" s="5">
        <v>2</v>
      </c>
      <c r="P178" s="5">
        <f>ROUND(Source!EH169,O178)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223</v>
      </c>
      <c r="F179" s="5">
        <f>ROUND(Source!AQ169,O179)</f>
        <v>0</v>
      </c>
      <c r="G179" s="5" t="s">
        <v>83</v>
      </c>
      <c r="H179" s="5" t="s">
        <v>84</v>
      </c>
      <c r="I179" s="5"/>
      <c r="J179" s="5"/>
      <c r="K179" s="5">
        <v>223</v>
      </c>
      <c r="L179" s="5">
        <v>9</v>
      </c>
      <c r="M179" s="5">
        <v>3</v>
      </c>
      <c r="N179" s="5" t="s">
        <v>3</v>
      </c>
      <c r="O179" s="5">
        <v>2</v>
      </c>
      <c r="P179" s="5">
        <f>ROUND(Source!EI169,O179)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229</v>
      </c>
      <c r="F180" s="5">
        <f>ROUND(Source!AZ169,O180)</f>
        <v>0</v>
      </c>
      <c r="G180" s="5" t="s">
        <v>85</v>
      </c>
      <c r="H180" s="5" t="s">
        <v>86</v>
      </c>
      <c r="I180" s="5"/>
      <c r="J180" s="5"/>
      <c r="K180" s="5">
        <v>229</v>
      </c>
      <c r="L180" s="5">
        <v>10</v>
      </c>
      <c r="M180" s="5">
        <v>3</v>
      </c>
      <c r="N180" s="5" t="s">
        <v>3</v>
      </c>
      <c r="O180" s="5">
        <v>2</v>
      </c>
      <c r="P180" s="5">
        <f>ROUND(Source!ER169,O180)</f>
        <v>0</v>
      </c>
      <c r="Q180" s="5"/>
      <c r="R180" s="5"/>
      <c r="S180" s="5"/>
      <c r="T180" s="5"/>
      <c r="U180" s="5"/>
      <c r="V180" s="5"/>
      <c r="W180" s="5">
        <v>0</v>
      </c>
      <c r="X180" s="5">
        <v>1</v>
      </c>
      <c r="Y180" s="5">
        <v>0</v>
      </c>
      <c r="Z180" s="5">
        <v>0</v>
      </c>
      <c r="AA180" s="5">
        <v>1</v>
      </c>
      <c r="AB180" s="5">
        <v>0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203</v>
      </c>
      <c r="F181" s="5">
        <f>ROUND(Source!Q169,O181)</f>
        <v>0</v>
      </c>
      <c r="G181" s="5" t="s">
        <v>87</v>
      </c>
      <c r="H181" s="5" t="s">
        <v>88</v>
      </c>
      <c r="I181" s="5"/>
      <c r="J181" s="5"/>
      <c r="K181" s="5">
        <v>203</v>
      </c>
      <c r="L181" s="5">
        <v>11</v>
      </c>
      <c r="M181" s="5">
        <v>3</v>
      </c>
      <c r="N181" s="5" t="s">
        <v>3</v>
      </c>
      <c r="O181" s="5">
        <v>2</v>
      </c>
      <c r="P181" s="5">
        <f>ROUND(Source!DI169,O181)</f>
        <v>0</v>
      </c>
      <c r="Q181" s="5"/>
      <c r="R181" s="5"/>
      <c r="S181" s="5"/>
      <c r="T181" s="5"/>
      <c r="U181" s="5"/>
      <c r="V181" s="5"/>
      <c r="W181" s="5">
        <v>0</v>
      </c>
      <c r="X181" s="5">
        <v>1</v>
      </c>
      <c r="Y181" s="5">
        <v>0</v>
      </c>
      <c r="Z181" s="5">
        <v>0</v>
      </c>
      <c r="AA181" s="5">
        <v>1</v>
      </c>
      <c r="AB181" s="5">
        <v>0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231</v>
      </c>
      <c r="F182" s="5">
        <f>ROUND(Source!BB169,O182)</f>
        <v>0</v>
      </c>
      <c r="G182" s="5" t="s">
        <v>89</v>
      </c>
      <c r="H182" s="5" t="s">
        <v>90</v>
      </c>
      <c r="I182" s="5"/>
      <c r="J182" s="5"/>
      <c r="K182" s="5">
        <v>231</v>
      </c>
      <c r="L182" s="5">
        <v>12</v>
      </c>
      <c r="M182" s="5">
        <v>3</v>
      </c>
      <c r="N182" s="5" t="s">
        <v>3</v>
      </c>
      <c r="O182" s="5">
        <v>2</v>
      </c>
      <c r="P182" s="5">
        <f>ROUND(Source!ET169,O182)</f>
        <v>0</v>
      </c>
      <c r="Q182" s="5"/>
      <c r="R182" s="5"/>
      <c r="S182" s="5"/>
      <c r="T182" s="5"/>
      <c r="U182" s="5"/>
      <c r="V182" s="5"/>
      <c r="W182" s="5">
        <v>0</v>
      </c>
      <c r="X182" s="5">
        <v>1</v>
      </c>
      <c r="Y182" s="5">
        <v>0</v>
      </c>
      <c r="Z182" s="5">
        <v>0</v>
      </c>
      <c r="AA182" s="5">
        <v>1</v>
      </c>
      <c r="AB182" s="5">
        <v>0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204</v>
      </c>
      <c r="F183" s="5">
        <f>ROUND(Source!R169,O183)</f>
        <v>0</v>
      </c>
      <c r="G183" s="5" t="s">
        <v>91</v>
      </c>
      <c r="H183" s="5" t="s">
        <v>92</v>
      </c>
      <c r="I183" s="5"/>
      <c r="J183" s="5"/>
      <c r="K183" s="5">
        <v>204</v>
      </c>
      <c r="L183" s="5">
        <v>13</v>
      </c>
      <c r="M183" s="5">
        <v>3</v>
      </c>
      <c r="N183" s="5" t="s">
        <v>3</v>
      </c>
      <c r="O183" s="5">
        <v>2</v>
      </c>
      <c r="P183" s="5">
        <f>ROUND(Source!DJ169,O183)</f>
        <v>0</v>
      </c>
      <c r="Q183" s="5"/>
      <c r="R183" s="5"/>
      <c r="S183" s="5"/>
      <c r="T183" s="5"/>
      <c r="U183" s="5"/>
      <c r="V183" s="5"/>
      <c r="W183" s="5">
        <v>0</v>
      </c>
      <c r="X183" s="5">
        <v>1</v>
      </c>
      <c r="Y183" s="5">
        <v>0</v>
      </c>
      <c r="Z183" s="5">
        <v>0</v>
      </c>
      <c r="AA183" s="5">
        <v>1</v>
      </c>
      <c r="AB183" s="5">
        <v>0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205</v>
      </c>
      <c r="F184" s="5">
        <f>ROUND(Source!S169,O184)</f>
        <v>0</v>
      </c>
      <c r="G184" s="5" t="s">
        <v>93</v>
      </c>
      <c r="H184" s="5" t="s">
        <v>94</v>
      </c>
      <c r="I184" s="5"/>
      <c r="J184" s="5"/>
      <c r="K184" s="5">
        <v>205</v>
      </c>
      <c r="L184" s="5">
        <v>14</v>
      </c>
      <c r="M184" s="5">
        <v>3</v>
      </c>
      <c r="N184" s="5" t="s">
        <v>3</v>
      </c>
      <c r="O184" s="5">
        <v>2</v>
      </c>
      <c r="P184" s="5">
        <f>ROUND(Source!DK169,O184)</f>
        <v>0</v>
      </c>
      <c r="Q184" s="5"/>
      <c r="R184" s="5"/>
      <c r="S184" s="5"/>
      <c r="T184" s="5"/>
      <c r="U184" s="5"/>
      <c r="V184" s="5"/>
      <c r="W184" s="5">
        <v>0</v>
      </c>
      <c r="X184" s="5">
        <v>1</v>
      </c>
      <c r="Y184" s="5">
        <v>0</v>
      </c>
      <c r="Z184" s="5">
        <v>0</v>
      </c>
      <c r="AA184" s="5">
        <v>1</v>
      </c>
      <c r="AB184" s="5">
        <v>0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232</v>
      </c>
      <c r="F185" s="5">
        <f>ROUND(Source!BC169,O185)</f>
        <v>0</v>
      </c>
      <c r="G185" s="5" t="s">
        <v>95</v>
      </c>
      <c r="H185" s="5" t="s">
        <v>96</v>
      </c>
      <c r="I185" s="5"/>
      <c r="J185" s="5"/>
      <c r="K185" s="5">
        <v>232</v>
      </c>
      <c r="L185" s="5">
        <v>15</v>
      </c>
      <c r="M185" s="5">
        <v>3</v>
      </c>
      <c r="N185" s="5" t="s">
        <v>3</v>
      </c>
      <c r="O185" s="5">
        <v>2</v>
      </c>
      <c r="P185" s="5">
        <f>ROUND(Source!EU169,O185)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214</v>
      </c>
      <c r="F186" s="5">
        <f>ROUND(Source!AS169,O186)</f>
        <v>1238.73</v>
      </c>
      <c r="G186" s="5" t="s">
        <v>97</v>
      </c>
      <c r="H186" s="5" t="s">
        <v>98</v>
      </c>
      <c r="I186" s="5"/>
      <c r="J186" s="5"/>
      <c r="K186" s="5">
        <v>214</v>
      </c>
      <c r="L186" s="5">
        <v>16</v>
      </c>
      <c r="M186" s="5">
        <v>3</v>
      </c>
      <c r="N186" s="5" t="s">
        <v>3</v>
      </c>
      <c r="O186" s="5">
        <v>2</v>
      </c>
      <c r="P186" s="5">
        <f>ROUND(Source!EK169,O186)</f>
        <v>1238.73</v>
      </c>
      <c r="Q186" s="5"/>
      <c r="R186" s="5"/>
      <c r="S186" s="5"/>
      <c r="T186" s="5"/>
      <c r="U186" s="5"/>
      <c r="V186" s="5"/>
      <c r="W186" s="5">
        <v>1238.73</v>
      </c>
      <c r="X186" s="5">
        <v>1</v>
      </c>
      <c r="Y186" s="5">
        <v>1238.73</v>
      </c>
      <c r="Z186" s="5">
        <v>1238.73</v>
      </c>
      <c r="AA186" s="5">
        <v>1</v>
      </c>
      <c r="AB186" s="5">
        <v>16066.33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215</v>
      </c>
      <c r="F187" s="5">
        <f>ROUND(Source!AT169,O187)</f>
        <v>0</v>
      </c>
      <c r="G187" s="5" t="s">
        <v>99</v>
      </c>
      <c r="H187" s="5" t="s">
        <v>100</v>
      </c>
      <c r="I187" s="5"/>
      <c r="J187" s="5"/>
      <c r="K187" s="5">
        <v>215</v>
      </c>
      <c r="L187" s="5">
        <v>17</v>
      </c>
      <c r="M187" s="5">
        <v>3</v>
      </c>
      <c r="N187" s="5" t="s">
        <v>3</v>
      </c>
      <c r="O187" s="5">
        <v>2</v>
      </c>
      <c r="P187" s="5">
        <f>ROUND(Source!EL169,O187)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217</v>
      </c>
      <c r="F188" s="5">
        <f>ROUND(Source!AU169,O188)</f>
        <v>0</v>
      </c>
      <c r="G188" s="5" t="s">
        <v>101</v>
      </c>
      <c r="H188" s="5" t="s">
        <v>102</v>
      </c>
      <c r="I188" s="5"/>
      <c r="J188" s="5"/>
      <c r="K188" s="5">
        <v>217</v>
      </c>
      <c r="L188" s="5">
        <v>18</v>
      </c>
      <c r="M188" s="5">
        <v>3</v>
      </c>
      <c r="N188" s="5" t="s">
        <v>3</v>
      </c>
      <c r="O188" s="5">
        <v>2</v>
      </c>
      <c r="P188" s="5">
        <f>ROUND(Source!EM169,O188)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230</v>
      </c>
      <c r="F189" s="5">
        <f>ROUND(Source!BA169,O189)</f>
        <v>0</v>
      </c>
      <c r="G189" s="5" t="s">
        <v>103</v>
      </c>
      <c r="H189" s="5" t="s">
        <v>104</v>
      </c>
      <c r="I189" s="5"/>
      <c r="J189" s="5"/>
      <c r="K189" s="5">
        <v>230</v>
      </c>
      <c r="L189" s="5">
        <v>19</v>
      </c>
      <c r="M189" s="5">
        <v>3</v>
      </c>
      <c r="N189" s="5" t="s">
        <v>3</v>
      </c>
      <c r="O189" s="5">
        <v>2</v>
      </c>
      <c r="P189" s="5">
        <f>ROUND(Source!ES169,O189)</f>
        <v>0</v>
      </c>
      <c r="Q189" s="5"/>
      <c r="R189" s="5"/>
      <c r="S189" s="5"/>
      <c r="T189" s="5"/>
      <c r="U189" s="5"/>
      <c r="V189" s="5"/>
      <c r="W189" s="5">
        <v>0</v>
      </c>
      <c r="X189" s="5">
        <v>1</v>
      </c>
      <c r="Y189" s="5">
        <v>0</v>
      </c>
      <c r="Z189" s="5">
        <v>0</v>
      </c>
      <c r="AA189" s="5">
        <v>1</v>
      </c>
      <c r="AB189" s="5">
        <v>0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206</v>
      </c>
      <c r="F190" s="5">
        <f>ROUND(Source!T169,O190)</f>
        <v>0</v>
      </c>
      <c r="G190" s="5" t="s">
        <v>105</v>
      </c>
      <c r="H190" s="5" t="s">
        <v>106</v>
      </c>
      <c r="I190" s="5"/>
      <c r="J190" s="5"/>
      <c r="K190" s="5">
        <v>206</v>
      </c>
      <c r="L190" s="5">
        <v>20</v>
      </c>
      <c r="M190" s="5">
        <v>3</v>
      </c>
      <c r="N190" s="5" t="s">
        <v>3</v>
      </c>
      <c r="O190" s="5">
        <v>2</v>
      </c>
      <c r="P190" s="5">
        <f>ROUND(Source!DL169,O190)</f>
        <v>0</v>
      </c>
      <c r="Q190" s="5"/>
      <c r="R190" s="5"/>
      <c r="S190" s="5"/>
      <c r="T190" s="5"/>
      <c r="U190" s="5"/>
      <c r="V190" s="5"/>
      <c r="W190" s="5">
        <v>0</v>
      </c>
      <c r="X190" s="5">
        <v>1</v>
      </c>
      <c r="Y190" s="5">
        <v>0</v>
      </c>
      <c r="Z190" s="5">
        <v>0</v>
      </c>
      <c r="AA190" s="5">
        <v>1</v>
      </c>
      <c r="AB190" s="5">
        <v>0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207</v>
      </c>
      <c r="F191" s="5">
        <f>Source!U169</f>
        <v>0</v>
      </c>
      <c r="G191" s="5" t="s">
        <v>107</v>
      </c>
      <c r="H191" s="5" t="s">
        <v>108</v>
      </c>
      <c r="I191" s="5"/>
      <c r="J191" s="5"/>
      <c r="K191" s="5">
        <v>207</v>
      </c>
      <c r="L191" s="5">
        <v>21</v>
      </c>
      <c r="M191" s="5">
        <v>3</v>
      </c>
      <c r="N191" s="5" t="s">
        <v>3</v>
      </c>
      <c r="O191" s="5">
        <v>-1</v>
      </c>
      <c r="P191" s="5">
        <f>Source!DM169</f>
        <v>0</v>
      </c>
      <c r="Q191" s="5"/>
      <c r="R191" s="5"/>
      <c r="S191" s="5"/>
      <c r="T191" s="5"/>
      <c r="U191" s="5"/>
      <c r="V191" s="5"/>
      <c r="W191" s="5">
        <v>0</v>
      </c>
      <c r="X191" s="5">
        <v>1</v>
      </c>
      <c r="Y191" s="5">
        <v>0</v>
      </c>
      <c r="Z191" s="5">
        <v>0</v>
      </c>
      <c r="AA191" s="5">
        <v>1</v>
      </c>
      <c r="AB191" s="5">
        <v>0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208</v>
      </c>
      <c r="F192" s="5">
        <f>Source!V169</f>
        <v>0</v>
      </c>
      <c r="G192" s="5" t="s">
        <v>109</v>
      </c>
      <c r="H192" s="5" t="s">
        <v>110</v>
      </c>
      <c r="I192" s="5"/>
      <c r="J192" s="5"/>
      <c r="K192" s="5">
        <v>208</v>
      </c>
      <c r="L192" s="5">
        <v>22</v>
      </c>
      <c r="M192" s="5">
        <v>3</v>
      </c>
      <c r="N192" s="5" t="s">
        <v>3</v>
      </c>
      <c r="O192" s="5">
        <v>-1</v>
      </c>
      <c r="P192" s="5">
        <f>Source!DN169</f>
        <v>0</v>
      </c>
      <c r="Q192" s="5"/>
      <c r="R192" s="5"/>
      <c r="S192" s="5"/>
      <c r="T192" s="5"/>
      <c r="U192" s="5"/>
      <c r="V192" s="5"/>
      <c r="W192" s="5">
        <v>0</v>
      </c>
      <c r="X192" s="5">
        <v>1</v>
      </c>
      <c r="Y192" s="5">
        <v>0</v>
      </c>
      <c r="Z192" s="5">
        <v>0</v>
      </c>
      <c r="AA192" s="5">
        <v>1</v>
      </c>
      <c r="AB192" s="5">
        <v>0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209</v>
      </c>
      <c r="F193" s="5">
        <f>ROUND(Source!W169,O193)</f>
        <v>0</v>
      </c>
      <c r="G193" s="5" t="s">
        <v>111</v>
      </c>
      <c r="H193" s="5" t="s">
        <v>112</v>
      </c>
      <c r="I193" s="5"/>
      <c r="J193" s="5"/>
      <c r="K193" s="5">
        <v>209</v>
      </c>
      <c r="L193" s="5">
        <v>23</v>
      </c>
      <c r="M193" s="5">
        <v>3</v>
      </c>
      <c r="N193" s="5" t="s">
        <v>3</v>
      </c>
      <c r="O193" s="5">
        <v>2</v>
      </c>
      <c r="P193" s="5">
        <f>ROUND(Source!DO169,O193)</f>
        <v>0</v>
      </c>
      <c r="Q193" s="5"/>
      <c r="R193" s="5"/>
      <c r="S193" s="5"/>
      <c r="T193" s="5"/>
      <c r="U193" s="5"/>
      <c r="V193" s="5"/>
      <c r="W193" s="5">
        <v>0</v>
      </c>
      <c r="X193" s="5">
        <v>1</v>
      </c>
      <c r="Y193" s="5">
        <v>0</v>
      </c>
      <c r="Z193" s="5">
        <v>0</v>
      </c>
      <c r="AA193" s="5">
        <v>1</v>
      </c>
      <c r="AB193" s="5">
        <v>0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233</v>
      </c>
      <c r="F194" s="5">
        <f>ROUND(Source!BD169,O194)</f>
        <v>1238.73</v>
      </c>
      <c r="G194" s="5" t="s">
        <v>113</v>
      </c>
      <c r="H194" s="5" t="s">
        <v>114</v>
      </c>
      <c r="I194" s="5"/>
      <c r="J194" s="5"/>
      <c r="K194" s="5">
        <v>233</v>
      </c>
      <c r="L194" s="5">
        <v>24</v>
      </c>
      <c r="M194" s="5">
        <v>3</v>
      </c>
      <c r="N194" s="5" t="s">
        <v>3</v>
      </c>
      <c r="O194" s="5">
        <v>2</v>
      </c>
      <c r="P194" s="5">
        <f>ROUND(Source!EV169,O194)</f>
        <v>1238.73</v>
      </c>
      <c r="Q194" s="5"/>
      <c r="R194" s="5"/>
      <c r="S194" s="5"/>
      <c r="T194" s="5"/>
      <c r="U194" s="5"/>
      <c r="V194" s="5"/>
      <c r="W194" s="5">
        <v>1238.73</v>
      </c>
      <c r="X194" s="5">
        <v>1</v>
      </c>
      <c r="Y194" s="5">
        <v>1238.73</v>
      </c>
      <c r="Z194" s="5">
        <v>1238.73</v>
      </c>
      <c r="AA194" s="5">
        <v>1</v>
      </c>
      <c r="AB194" s="5">
        <v>16066.33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210</v>
      </c>
      <c r="F195" s="5">
        <f>ROUND(Source!X169,O195)</f>
        <v>0</v>
      </c>
      <c r="G195" s="5" t="s">
        <v>115</v>
      </c>
      <c r="H195" s="5" t="s">
        <v>116</v>
      </c>
      <c r="I195" s="5"/>
      <c r="J195" s="5"/>
      <c r="K195" s="5">
        <v>210</v>
      </c>
      <c r="L195" s="5">
        <v>25</v>
      </c>
      <c r="M195" s="5">
        <v>3</v>
      </c>
      <c r="N195" s="5" t="s">
        <v>3</v>
      </c>
      <c r="O195" s="5">
        <v>2</v>
      </c>
      <c r="P195" s="5">
        <f>ROUND(Source!DP169,O195)</f>
        <v>0</v>
      </c>
      <c r="Q195" s="5"/>
      <c r="R195" s="5"/>
      <c r="S195" s="5"/>
      <c r="T195" s="5"/>
      <c r="U195" s="5"/>
      <c r="V195" s="5"/>
      <c r="W195" s="5">
        <v>0</v>
      </c>
      <c r="X195" s="5">
        <v>1</v>
      </c>
      <c r="Y195" s="5">
        <v>0</v>
      </c>
      <c r="Z195" s="5">
        <v>0</v>
      </c>
      <c r="AA195" s="5">
        <v>1</v>
      </c>
      <c r="AB195" s="5">
        <v>0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211</v>
      </c>
      <c r="F196" s="5">
        <f>ROUND(Source!Y169,O196)</f>
        <v>0</v>
      </c>
      <c r="G196" s="5" t="s">
        <v>117</v>
      </c>
      <c r="H196" s="5" t="s">
        <v>118</v>
      </c>
      <c r="I196" s="5"/>
      <c r="J196" s="5"/>
      <c r="K196" s="5">
        <v>211</v>
      </c>
      <c r="L196" s="5">
        <v>26</v>
      </c>
      <c r="M196" s="5">
        <v>3</v>
      </c>
      <c r="N196" s="5" t="s">
        <v>3</v>
      </c>
      <c r="O196" s="5">
        <v>2</v>
      </c>
      <c r="P196" s="5">
        <f>ROUND(Source!DQ169,O196)</f>
        <v>0</v>
      </c>
      <c r="Q196" s="5"/>
      <c r="R196" s="5"/>
      <c r="S196" s="5"/>
      <c r="T196" s="5"/>
      <c r="U196" s="5"/>
      <c r="V196" s="5"/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224</v>
      </c>
      <c r="F197" s="5">
        <f>ROUND(Source!AR169,O197)</f>
        <v>1238.73</v>
      </c>
      <c r="G197" s="5" t="s">
        <v>119</v>
      </c>
      <c r="H197" s="5" t="s">
        <v>120</v>
      </c>
      <c r="I197" s="5"/>
      <c r="J197" s="5"/>
      <c r="K197" s="5">
        <v>224</v>
      </c>
      <c r="L197" s="5">
        <v>27</v>
      </c>
      <c r="M197" s="5">
        <v>3</v>
      </c>
      <c r="N197" s="5" t="s">
        <v>3</v>
      </c>
      <c r="O197" s="5">
        <v>2</v>
      </c>
      <c r="P197" s="5">
        <f>ROUND(Source!EJ169,O197)</f>
        <v>1238.73</v>
      </c>
      <c r="Q197" s="5"/>
      <c r="R197" s="5"/>
      <c r="S197" s="5"/>
      <c r="T197" s="5"/>
      <c r="U197" s="5"/>
      <c r="V197" s="5"/>
      <c r="W197" s="5">
        <v>1238.73</v>
      </c>
      <c r="X197" s="5">
        <v>1</v>
      </c>
      <c r="Y197" s="5">
        <v>1238.73</v>
      </c>
      <c r="Z197" s="5">
        <v>1238.73</v>
      </c>
      <c r="AA197" s="5">
        <v>1</v>
      </c>
      <c r="AB197" s="5">
        <v>16066.33</v>
      </c>
    </row>
    <row r="198" spans="1:28" ht="12.75">
      <c r="A198" s="5">
        <v>50</v>
      </c>
      <c r="B198" s="5">
        <v>1</v>
      </c>
      <c r="C198" s="5">
        <v>0</v>
      </c>
      <c r="D198" s="5">
        <v>2</v>
      </c>
      <c r="E198" s="5">
        <v>213</v>
      </c>
      <c r="F198" s="5">
        <f>ROUND(F197,O198)</f>
        <v>1238.73</v>
      </c>
      <c r="G198" s="5" t="s">
        <v>121</v>
      </c>
      <c r="H198" s="5" t="s">
        <v>122</v>
      </c>
      <c r="I198" s="5"/>
      <c r="J198" s="5"/>
      <c r="K198" s="5">
        <v>212</v>
      </c>
      <c r="L198" s="5">
        <v>28</v>
      </c>
      <c r="M198" s="5">
        <v>0</v>
      </c>
      <c r="N198" s="5" t="s">
        <v>3</v>
      </c>
      <c r="O198" s="5">
        <v>2</v>
      </c>
      <c r="P198" s="5">
        <f>ROUND(P197,O198)</f>
        <v>1238.73</v>
      </c>
      <c r="Q198" s="5"/>
      <c r="R198" s="5"/>
      <c r="S198" s="5"/>
      <c r="T198" s="5"/>
      <c r="U198" s="5"/>
      <c r="V198" s="5"/>
      <c r="W198" s="5">
        <v>1238.73</v>
      </c>
      <c r="X198" s="5">
        <v>1</v>
      </c>
      <c r="Y198" s="5">
        <v>1238.73</v>
      </c>
      <c r="Z198" s="5">
        <v>1238.73</v>
      </c>
      <c r="AA198" s="5">
        <v>1</v>
      </c>
      <c r="AB198" s="5">
        <v>16066.33</v>
      </c>
    </row>
    <row r="200" spans="1:206" ht="12.75">
      <c r="A200" s="3">
        <v>51</v>
      </c>
      <c r="B200" s="3">
        <f>B20</f>
        <v>1</v>
      </c>
      <c r="C200" s="3">
        <f>A20</f>
        <v>3</v>
      </c>
      <c r="D200" s="3">
        <f>ROW(A20)</f>
        <v>20</v>
      </c>
      <c r="E200" s="3"/>
      <c r="F200" s="3">
        <f>IF(F20&lt;&gt;"",F20,"")</f>
      </c>
      <c r="G200" s="3">
        <f>IF(G20&lt;&gt;"",G20,"")</f>
      </c>
      <c r="H200" s="3">
        <v>0</v>
      </c>
      <c r="I200" s="3"/>
      <c r="J200" s="3"/>
      <c r="K200" s="3"/>
      <c r="L200" s="3"/>
      <c r="M200" s="3"/>
      <c r="N200" s="3"/>
      <c r="O200" s="3">
        <f aca="true" t="shared" si="181" ref="O200:T200">ROUND(O39+O129+O169+AB200,2)</f>
        <v>143354.75</v>
      </c>
      <c r="P200" s="3">
        <f t="shared" si="181"/>
        <v>132624.83</v>
      </c>
      <c r="Q200" s="3">
        <f t="shared" si="181"/>
        <v>1945.14</v>
      </c>
      <c r="R200" s="3">
        <f t="shared" si="181"/>
        <v>321.25</v>
      </c>
      <c r="S200" s="3">
        <f t="shared" si="181"/>
        <v>8784.78</v>
      </c>
      <c r="T200" s="3">
        <f t="shared" si="181"/>
        <v>0</v>
      </c>
      <c r="U200" s="3">
        <f>U39+U129+U169+AH200</f>
        <v>970.8064895</v>
      </c>
      <c r="V200" s="3">
        <f>V39+V129+V169+AI200</f>
        <v>28.759895</v>
      </c>
      <c r="W200" s="3">
        <f>ROUND(W39+W129+W169+AJ200,2)</f>
        <v>0</v>
      </c>
      <c r="X200" s="3">
        <f>ROUND(X39+X129+X169+AK200,2)</f>
        <v>10404.97</v>
      </c>
      <c r="Y200" s="3">
        <f>ROUND(Y39+Y129+Y169+AL200,2)</f>
        <v>7413.96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>
        <f aca="true" t="shared" si="182" ref="AO200:BD200">ROUND(AO39+AO129+AO169+BX200,2)</f>
        <v>0</v>
      </c>
      <c r="AP200" s="3">
        <f t="shared" si="182"/>
        <v>0</v>
      </c>
      <c r="AQ200" s="3">
        <f t="shared" si="182"/>
        <v>0</v>
      </c>
      <c r="AR200" s="3">
        <f t="shared" si="182"/>
        <v>162412.41</v>
      </c>
      <c r="AS200" s="3">
        <f t="shared" si="182"/>
        <v>162412.41</v>
      </c>
      <c r="AT200" s="3">
        <f t="shared" si="182"/>
        <v>0</v>
      </c>
      <c r="AU200" s="3">
        <f t="shared" si="182"/>
        <v>0</v>
      </c>
      <c r="AV200" s="3">
        <f t="shared" si="182"/>
        <v>132624.83</v>
      </c>
      <c r="AW200" s="3">
        <f t="shared" si="182"/>
        <v>132624.83</v>
      </c>
      <c r="AX200" s="3">
        <f t="shared" si="182"/>
        <v>0</v>
      </c>
      <c r="AY200" s="3">
        <f t="shared" si="182"/>
        <v>132624.83</v>
      </c>
      <c r="AZ200" s="3">
        <f t="shared" si="182"/>
        <v>0</v>
      </c>
      <c r="BA200" s="3">
        <f t="shared" si="182"/>
        <v>0</v>
      </c>
      <c r="BB200" s="3">
        <f t="shared" si="182"/>
        <v>0</v>
      </c>
      <c r="BC200" s="3">
        <f t="shared" si="182"/>
        <v>0</v>
      </c>
      <c r="BD200" s="3">
        <f t="shared" si="182"/>
        <v>1238.73</v>
      </c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4">
        <f aca="true" t="shared" si="183" ref="DG200:DL200">ROUND(DG39+DG129+DG169+DT200,2)</f>
        <v>143354.75</v>
      </c>
      <c r="DH200" s="4">
        <f t="shared" si="183"/>
        <v>132624.83</v>
      </c>
      <c r="DI200" s="4">
        <f t="shared" si="183"/>
        <v>1945.14</v>
      </c>
      <c r="DJ200" s="4">
        <f t="shared" si="183"/>
        <v>321.25</v>
      </c>
      <c r="DK200" s="4">
        <f t="shared" si="183"/>
        <v>8784.78</v>
      </c>
      <c r="DL200" s="4">
        <f t="shared" si="183"/>
        <v>0</v>
      </c>
      <c r="DM200" s="4">
        <f>DM39+DM129+DM169+DZ200</f>
        <v>970.8064895</v>
      </c>
      <c r="DN200" s="4">
        <f>DN39+DN129+DN169+EA200</f>
        <v>28.759895</v>
      </c>
      <c r="DO200" s="4">
        <f>ROUND(DO39+DO129+DO169+EB200,2)</f>
        <v>0</v>
      </c>
      <c r="DP200" s="4">
        <f>ROUND(DP39+DP129+DP169+EC200,2)</f>
        <v>10404.97</v>
      </c>
      <c r="DQ200" s="4">
        <f>ROUND(DQ39+DQ129+DQ169+ED200,2)</f>
        <v>7413.96</v>
      </c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>
        <f aca="true" t="shared" si="184" ref="EG200:EV200">ROUND(EG39+EG129+EG169+FP200,2)</f>
        <v>0</v>
      </c>
      <c r="EH200" s="4">
        <f t="shared" si="184"/>
        <v>0</v>
      </c>
      <c r="EI200" s="4">
        <f t="shared" si="184"/>
        <v>0</v>
      </c>
      <c r="EJ200" s="4">
        <f t="shared" si="184"/>
        <v>162412.41</v>
      </c>
      <c r="EK200" s="4">
        <f t="shared" si="184"/>
        <v>162412.41</v>
      </c>
      <c r="EL200" s="4">
        <f t="shared" si="184"/>
        <v>0</v>
      </c>
      <c r="EM200" s="4">
        <f t="shared" si="184"/>
        <v>0</v>
      </c>
      <c r="EN200" s="4">
        <f t="shared" si="184"/>
        <v>132624.83</v>
      </c>
      <c r="EO200" s="4">
        <f t="shared" si="184"/>
        <v>132624.83</v>
      </c>
      <c r="EP200" s="4">
        <f t="shared" si="184"/>
        <v>0</v>
      </c>
      <c r="EQ200" s="4">
        <f t="shared" si="184"/>
        <v>132624.83</v>
      </c>
      <c r="ER200" s="4">
        <f t="shared" si="184"/>
        <v>0</v>
      </c>
      <c r="ES200" s="4">
        <f t="shared" si="184"/>
        <v>0</v>
      </c>
      <c r="ET200" s="4">
        <f t="shared" si="184"/>
        <v>0</v>
      </c>
      <c r="EU200" s="4">
        <f t="shared" si="184"/>
        <v>0</v>
      </c>
      <c r="EV200" s="4">
        <f t="shared" si="184"/>
        <v>1238.73</v>
      </c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>
        <v>0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201</v>
      </c>
      <c r="F202" s="5">
        <f>ROUND(Source!O200,O202)</f>
        <v>143354.75</v>
      </c>
      <c r="G202" s="5" t="s">
        <v>67</v>
      </c>
      <c r="H202" s="5" t="s">
        <v>68</v>
      </c>
      <c r="I202" s="5"/>
      <c r="J202" s="5"/>
      <c r="K202" s="5">
        <v>201</v>
      </c>
      <c r="L202" s="5">
        <v>1</v>
      </c>
      <c r="M202" s="5">
        <v>3</v>
      </c>
      <c r="N202" s="5" t="s">
        <v>3</v>
      </c>
      <c r="O202" s="5">
        <v>2</v>
      </c>
      <c r="P202" s="5">
        <f>ROUND(Source!DG200,O202)</f>
        <v>143354.75</v>
      </c>
      <c r="Q202" s="5"/>
      <c r="R202" s="5"/>
      <c r="S202" s="5"/>
      <c r="T202" s="5"/>
      <c r="U202" s="5"/>
      <c r="V202" s="5"/>
      <c r="W202" s="5">
        <v>144593.47999999998</v>
      </c>
      <c r="X202" s="5">
        <v>1</v>
      </c>
      <c r="Y202" s="5">
        <v>144593.47999999998</v>
      </c>
      <c r="Z202" s="5">
        <v>144593.47999999998</v>
      </c>
      <c r="AA202" s="5">
        <v>1</v>
      </c>
      <c r="AB202" s="5">
        <v>1266177.06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202</v>
      </c>
      <c r="F203" s="5">
        <f>ROUND(Source!P200,O203)</f>
        <v>132624.83</v>
      </c>
      <c r="G203" s="5" t="s">
        <v>69</v>
      </c>
      <c r="H203" s="5" t="s">
        <v>70</v>
      </c>
      <c r="I203" s="5"/>
      <c r="J203" s="5"/>
      <c r="K203" s="5">
        <v>202</v>
      </c>
      <c r="L203" s="5">
        <v>2</v>
      </c>
      <c r="M203" s="5">
        <v>3</v>
      </c>
      <c r="N203" s="5" t="s">
        <v>3</v>
      </c>
      <c r="O203" s="5">
        <v>2</v>
      </c>
      <c r="P203" s="5">
        <f>ROUND(Source!DH200,O203)</f>
        <v>132624.83</v>
      </c>
      <c r="Q203" s="5"/>
      <c r="R203" s="5"/>
      <c r="S203" s="5"/>
      <c r="T203" s="5"/>
      <c r="U203" s="5"/>
      <c r="V203" s="5"/>
      <c r="W203" s="5">
        <v>132624.83</v>
      </c>
      <c r="X203" s="5">
        <v>1</v>
      </c>
      <c r="Y203" s="5">
        <v>132624.83</v>
      </c>
      <c r="Z203" s="5">
        <v>132624.83</v>
      </c>
      <c r="AA203" s="5">
        <v>1</v>
      </c>
      <c r="AB203" s="5">
        <v>0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222</v>
      </c>
      <c r="F204" s="5">
        <f>ROUND(Source!AO200,O204)</f>
        <v>0</v>
      </c>
      <c r="G204" s="5" t="s">
        <v>71</v>
      </c>
      <c r="H204" s="5" t="s">
        <v>72</v>
      </c>
      <c r="I204" s="5"/>
      <c r="J204" s="5"/>
      <c r="K204" s="5">
        <v>222</v>
      </c>
      <c r="L204" s="5">
        <v>3</v>
      </c>
      <c r="M204" s="5">
        <v>3</v>
      </c>
      <c r="N204" s="5" t="s">
        <v>3</v>
      </c>
      <c r="O204" s="5">
        <v>2</v>
      </c>
      <c r="P204" s="5">
        <f>ROUND(Source!EG200,O204)</f>
        <v>0</v>
      </c>
      <c r="Q204" s="5"/>
      <c r="R204" s="5"/>
      <c r="S204" s="5"/>
      <c r="T204" s="5"/>
      <c r="U204" s="5"/>
      <c r="V204" s="5"/>
      <c r="W204" s="5">
        <v>0</v>
      </c>
      <c r="X204" s="5">
        <v>1</v>
      </c>
      <c r="Y204" s="5">
        <v>0</v>
      </c>
      <c r="Z204" s="5">
        <v>0</v>
      </c>
      <c r="AA204" s="5">
        <v>1</v>
      </c>
      <c r="AB204" s="5">
        <v>0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225</v>
      </c>
      <c r="F205" s="5">
        <f>ROUND(Source!AV200,O205)</f>
        <v>132624.83</v>
      </c>
      <c r="G205" s="5" t="s">
        <v>73</v>
      </c>
      <c r="H205" s="5" t="s">
        <v>74</v>
      </c>
      <c r="I205" s="5"/>
      <c r="J205" s="5"/>
      <c r="K205" s="5">
        <v>225</v>
      </c>
      <c r="L205" s="5">
        <v>4</v>
      </c>
      <c r="M205" s="5">
        <v>3</v>
      </c>
      <c r="N205" s="5" t="s">
        <v>3</v>
      </c>
      <c r="O205" s="5">
        <v>2</v>
      </c>
      <c r="P205" s="5">
        <f>ROUND(Source!EN200,O205)</f>
        <v>132624.83</v>
      </c>
      <c r="Q205" s="5"/>
      <c r="R205" s="5"/>
      <c r="S205" s="5"/>
      <c r="T205" s="5"/>
      <c r="U205" s="5"/>
      <c r="V205" s="5"/>
      <c r="W205" s="5">
        <v>132624.83</v>
      </c>
      <c r="X205" s="5">
        <v>1</v>
      </c>
      <c r="Y205" s="5">
        <v>132624.83</v>
      </c>
      <c r="Z205" s="5">
        <v>132624.83</v>
      </c>
      <c r="AA205" s="5">
        <v>1</v>
      </c>
      <c r="AB205" s="5">
        <v>0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226</v>
      </c>
      <c r="F206" s="5">
        <f>ROUND(Source!AW200,O206)</f>
        <v>132624.83</v>
      </c>
      <c r="G206" s="5" t="s">
        <v>75</v>
      </c>
      <c r="H206" s="5" t="s">
        <v>76</v>
      </c>
      <c r="I206" s="5"/>
      <c r="J206" s="5"/>
      <c r="K206" s="5">
        <v>226</v>
      </c>
      <c r="L206" s="5">
        <v>5</v>
      </c>
      <c r="M206" s="5">
        <v>3</v>
      </c>
      <c r="N206" s="5" t="s">
        <v>3</v>
      </c>
      <c r="O206" s="5">
        <v>2</v>
      </c>
      <c r="P206" s="5">
        <f>ROUND(Source!EO200,O206)</f>
        <v>132624.83</v>
      </c>
      <c r="Q206" s="5"/>
      <c r="R206" s="5"/>
      <c r="S206" s="5"/>
      <c r="T206" s="5"/>
      <c r="U206" s="5"/>
      <c r="V206" s="5"/>
      <c r="W206" s="5">
        <v>132624.83</v>
      </c>
      <c r="X206" s="5">
        <v>1</v>
      </c>
      <c r="Y206" s="5">
        <v>132624.83</v>
      </c>
      <c r="Z206" s="5">
        <v>132624.83</v>
      </c>
      <c r="AA206" s="5">
        <v>1</v>
      </c>
      <c r="AB206" s="5">
        <v>904501.34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227</v>
      </c>
      <c r="F207" s="5">
        <f>ROUND(Source!AX200,O207)</f>
        <v>0</v>
      </c>
      <c r="G207" s="5" t="s">
        <v>77</v>
      </c>
      <c r="H207" s="5" t="s">
        <v>78</v>
      </c>
      <c r="I207" s="5"/>
      <c r="J207" s="5"/>
      <c r="K207" s="5">
        <v>227</v>
      </c>
      <c r="L207" s="5">
        <v>6</v>
      </c>
      <c r="M207" s="5">
        <v>3</v>
      </c>
      <c r="N207" s="5" t="s">
        <v>3</v>
      </c>
      <c r="O207" s="5">
        <v>2</v>
      </c>
      <c r="P207" s="5">
        <f>ROUND(Source!EP200,O207)</f>
        <v>0</v>
      </c>
      <c r="Q207" s="5"/>
      <c r="R207" s="5"/>
      <c r="S207" s="5"/>
      <c r="T207" s="5"/>
      <c r="U207" s="5"/>
      <c r="V207" s="5"/>
      <c r="W207" s="5">
        <v>0</v>
      </c>
      <c r="X207" s="5">
        <v>1</v>
      </c>
      <c r="Y207" s="5">
        <v>0</v>
      </c>
      <c r="Z207" s="5">
        <v>0</v>
      </c>
      <c r="AA207" s="5">
        <v>1</v>
      </c>
      <c r="AB207" s="5">
        <v>0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228</v>
      </c>
      <c r="F208" s="5">
        <f>ROUND(Source!AY200,O208)</f>
        <v>132624.83</v>
      </c>
      <c r="G208" s="5" t="s">
        <v>79</v>
      </c>
      <c r="H208" s="5" t="s">
        <v>80</v>
      </c>
      <c r="I208" s="5"/>
      <c r="J208" s="5"/>
      <c r="K208" s="5">
        <v>228</v>
      </c>
      <c r="L208" s="5">
        <v>7</v>
      </c>
      <c r="M208" s="5">
        <v>3</v>
      </c>
      <c r="N208" s="5" t="s">
        <v>3</v>
      </c>
      <c r="O208" s="5">
        <v>2</v>
      </c>
      <c r="P208" s="5">
        <f>ROUND(Source!EQ200,O208)</f>
        <v>132624.83</v>
      </c>
      <c r="Q208" s="5"/>
      <c r="R208" s="5"/>
      <c r="S208" s="5"/>
      <c r="T208" s="5"/>
      <c r="U208" s="5"/>
      <c r="V208" s="5"/>
      <c r="W208" s="5">
        <v>132624.83</v>
      </c>
      <c r="X208" s="5">
        <v>1</v>
      </c>
      <c r="Y208" s="5">
        <v>132624.83</v>
      </c>
      <c r="Z208" s="5">
        <v>132624.83</v>
      </c>
      <c r="AA208" s="5">
        <v>1</v>
      </c>
      <c r="AB208" s="5">
        <v>904501.34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216</v>
      </c>
      <c r="F209" s="5">
        <f>ROUND(Source!AP200,O209)</f>
        <v>0</v>
      </c>
      <c r="G209" s="5" t="s">
        <v>81</v>
      </c>
      <c r="H209" s="5" t="s">
        <v>82</v>
      </c>
      <c r="I209" s="5"/>
      <c r="J209" s="5"/>
      <c r="K209" s="5">
        <v>216</v>
      </c>
      <c r="L209" s="5">
        <v>8</v>
      </c>
      <c r="M209" s="5">
        <v>3</v>
      </c>
      <c r="N209" s="5" t="s">
        <v>3</v>
      </c>
      <c r="O209" s="5">
        <v>2</v>
      </c>
      <c r="P209" s="5">
        <f>ROUND(Source!EH200,O209)</f>
        <v>0</v>
      </c>
      <c r="Q209" s="5"/>
      <c r="R209" s="5"/>
      <c r="S209" s="5"/>
      <c r="T209" s="5"/>
      <c r="U209" s="5"/>
      <c r="V209" s="5"/>
      <c r="W209" s="5">
        <v>0</v>
      </c>
      <c r="X209" s="5">
        <v>1</v>
      </c>
      <c r="Y209" s="5">
        <v>0</v>
      </c>
      <c r="Z209" s="5">
        <v>0</v>
      </c>
      <c r="AA209" s="5">
        <v>1</v>
      </c>
      <c r="AB209" s="5">
        <v>0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223</v>
      </c>
      <c r="F210" s="5">
        <f>ROUND(Source!AQ200,O210)</f>
        <v>0</v>
      </c>
      <c r="G210" s="5" t="s">
        <v>83</v>
      </c>
      <c r="H210" s="5" t="s">
        <v>84</v>
      </c>
      <c r="I210" s="5"/>
      <c r="J210" s="5"/>
      <c r="K210" s="5">
        <v>223</v>
      </c>
      <c r="L210" s="5">
        <v>9</v>
      </c>
      <c r="M210" s="5">
        <v>3</v>
      </c>
      <c r="N210" s="5" t="s">
        <v>3</v>
      </c>
      <c r="O210" s="5">
        <v>2</v>
      </c>
      <c r="P210" s="5">
        <f>ROUND(Source!EI200,O210)</f>
        <v>0</v>
      </c>
      <c r="Q210" s="5"/>
      <c r="R210" s="5"/>
      <c r="S210" s="5"/>
      <c r="T210" s="5"/>
      <c r="U210" s="5"/>
      <c r="V210" s="5"/>
      <c r="W210" s="5">
        <v>0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229</v>
      </c>
      <c r="F211" s="5">
        <f>ROUND(Source!AZ200,O211)</f>
        <v>0</v>
      </c>
      <c r="G211" s="5" t="s">
        <v>85</v>
      </c>
      <c r="H211" s="5" t="s">
        <v>86</v>
      </c>
      <c r="I211" s="5"/>
      <c r="J211" s="5"/>
      <c r="K211" s="5">
        <v>229</v>
      </c>
      <c r="L211" s="5">
        <v>10</v>
      </c>
      <c r="M211" s="5">
        <v>3</v>
      </c>
      <c r="N211" s="5" t="s">
        <v>3</v>
      </c>
      <c r="O211" s="5">
        <v>2</v>
      </c>
      <c r="P211" s="5">
        <f>ROUND(Source!ER200,O211)</f>
        <v>0</v>
      </c>
      <c r="Q211" s="5"/>
      <c r="R211" s="5"/>
      <c r="S211" s="5"/>
      <c r="T211" s="5"/>
      <c r="U211" s="5"/>
      <c r="V211" s="5"/>
      <c r="W211" s="5">
        <v>0</v>
      </c>
      <c r="X211" s="5">
        <v>1</v>
      </c>
      <c r="Y211" s="5">
        <v>0</v>
      </c>
      <c r="Z211" s="5">
        <v>0</v>
      </c>
      <c r="AA211" s="5">
        <v>1</v>
      </c>
      <c r="AB211" s="5">
        <v>0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203</v>
      </c>
      <c r="F212" s="5">
        <f>ROUND(Source!Q200,O212)</f>
        <v>1945.14</v>
      </c>
      <c r="G212" s="5" t="s">
        <v>87</v>
      </c>
      <c r="H212" s="5" t="s">
        <v>88</v>
      </c>
      <c r="I212" s="5"/>
      <c r="J212" s="5"/>
      <c r="K212" s="5">
        <v>203</v>
      </c>
      <c r="L212" s="5">
        <v>11</v>
      </c>
      <c r="M212" s="5">
        <v>3</v>
      </c>
      <c r="N212" s="5" t="s">
        <v>3</v>
      </c>
      <c r="O212" s="5">
        <v>2</v>
      </c>
      <c r="P212" s="5">
        <f>ROUND(Source!DI200,O212)</f>
        <v>1945.14</v>
      </c>
      <c r="Q212" s="5"/>
      <c r="R212" s="5"/>
      <c r="S212" s="5"/>
      <c r="T212" s="5"/>
      <c r="U212" s="5"/>
      <c r="V212" s="5"/>
      <c r="W212" s="5">
        <v>1945.14</v>
      </c>
      <c r="X212" s="5">
        <v>1</v>
      </c>
      <c r="Y212" s="5">
        <v>1945.14</v>
      </c>
      <c r="Z212" s="5">
        <v>1945.14</v>
      </c>
      <c r="AA212" s="5">
        <v>1</v>
      </c>
      <c r="AB212" s="5">
        <v>25228.47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231</v>
      </c>
      <c r="F213" s="5">
        <f>ROUND(Source!BB200,O213)</f>
        <v>0</v>
      </c>
      <c r="G213" s="5" t="s">
        <v>89</v>
      </c>
      <c r="H213" s="5" t="s">
        <v>90</v>
      </c>
      <c r="I213" s="5"/>
      <c r="J213" s="5"/>
      <c r="K213" s="5">
        <v>231</v>
      </c>
      <c r="L213" s="5">
        <v>12</v>
      </c>
      <c r="M213" s="5">
        <v>3</v>
      </c>
      <c r="N213" s="5" t="s">
        <v>3</v>
      </c>
      <c r="O213" s="5">
        <v>2</v>
      </c>
      <c r="P213" s="5">
        <f>ROUND(Source!ET200,O213)</f>
        <v>0</v>
      </c>
      <c r="Q213" s="5"/>
      <c r="R213" s="5"/>
      <c r="S213" s="5"/>
      <c r="T213" s="5"/>
      <c r="U213" s="5"/>
      <c r="V213" s="5"/>
      <c r="W213" s="5">
        <v>0</v>
      </c>
      <c r="X213" s="5">
        <v>1</v>
      </c>
      <c r="Y213" s="5">
        <v>0</v>
      </c>
      <c r="Z213" s="5">
        <v>0</v>
      </c>
      <c r="AA213" s="5">
        <v>1</v>
      </c>
      <c r="AB213" s="5">
        <v>0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204</v>
      </c>
      <c r="F214" s="5">
        <f>ROUND(Source!R200,O214)</f>
        <v>321.25</v>
      </c>
      <c r="G214" s="5" t="s">
        <v>91</v>
      </c>
      <c r="H214" s="5" t="s">
        <v>92</v>
      </c>
      <c r="I214" s="5"/>
      <c r="J214" s="5"/>
      <c r="K214" s="5">
        <v>204</v>
      </c>
      <c r="L214" s="5">
        <v>13</v>
      </c>
      <c r="M214" s="5">
        <v>3</v>
      </c>
      <c r="N214" s="5" t="s">
        <v>3</v>
      </c>
      <c r="O214" s="5">
        <v>2</v>
      </c>
      <c r="P214" s="5">
        <f>ROUND(Source!DJ200,O214)</f>
        <v>321.25</v>
      </c>
      <c r="Q214" s="5"/>
      <c r="R214" s="5"/>
      <c r="S214" s="5"/>
      <c r="T214" s="5"/>
      <c r="U214" s="5"/>
      <c r="V214" s="5"/>
      <c r="W214" s="5">
        <v>321.25000000000006</v>
      </c>
      <c r="X214" s="5">
        <v>1</v>
      </c>
      <c r="Y214" s="5">
        <v>321.25000000000006</v>
      </c>
      <c r="Z214" s="5">
        <v>321.25000000000006</v>
      </c>
      <c r="AA214" s="5">
        <v>1</v>
      </c>
      <c r="AB214" s="5">
        <v>11716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205</v>
      </c>
      <c r="F215" s="5">
        <f>ROUND(Source!S200,O215)</f>
        <v>8784.78</v>
      </c>
      <c r="G215" s="5" t="s">
        <v>93</v>
      </c>
      <c r="H215" s="5" t="s">
        <v>94</v>
      </c>
      <c r="I215" s="5"/>
      <c r="J215" s="5"/>
      <c r="K215" s="5">
        <v>205</v>
      </c>
      <c r="L215" s="5">
        <v>14</v>
      </c>
      <c r="M215" s="5">
        <v>3</v>
      </c>
      <c r="N215" s="5" t="s">
        <v>3</v>
      </c>
      <c r="O215" s="5">
        <v>2</v>
      </c>
      <c r="P215" s="5">
        <f>ROUND(Source!DK200,O215)</f>
        <v>8784.78</v>
      </c>
      <c r="Q215" s="5"/>
      <c r="R215" s="5"/>
      <c r="S215" s="5"/>
      <c r="T215" s="5"/>
      <c r="U215" s="5"/>
      <c r="V215" s="5"/>
      <c r="W215" s="5">
        <v>8784.78</v>
      </c>
      <c r="X215" s="5">
        <v>1</v>
      </c>
      <c r="Y215" s="5">
        <v>8784.78</v>
      </c>
      <c r="Z215" s="5">
        <v>8784.78</v>
      </c>
      <c r="AA215" s="5">
        <v>1</v>
      </c>
      <c r="AB215" s="5">
        <v>320380.92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232</v>
      </c>
      <c r="F216" s="5">
        <f>ROUND(Source!BC200,O216)</f>
        <v>0</v>
      </c>
      <c r="G216" s="5" t="s">
        <v>95</v>
      </c>
      <c r="H216" s="5" t="s">
        <v>96</v>
      </c>
      <c r="I216" s="5"/>
      <c r="J216" s="5"/>
      <c r="K216" s="5">
        <v>232</v>
      </c>
      <c r="L216" s="5">
        <v>15</v>
      </c>
      <c r="M216" s="5">
        <v>3</v>
      </c>
      <c r="N216" s="5" t="s">
        <v>3</v>
      </c>
      <c r="O216" s="5">
        <v>2</v>
      </c>
      <c r="P216" s="5">
        <f>ROUND(Source!EU200,O216)</f>
        <v>0</v>
      </c>
      <c r="Q216" s="5"/>
      <c r="R216" s="5"/>
      <c r="S216" s="5"/>
      <c r="T216" s="5"/>
      <c r="U216" s="5"/>
      <c r="V216" s="5"/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214</v>
      </c>
      <c r="F217" s="5">
        <f>ROUND(Source!AS200,O217)</f>
        <v>162412.41</v>
      </c>
      <c r="G217" s="5" t="s">
        <v>97</v>
      </c>
      <c r="H217" s="5" t="s">
        <v>98</v>
      </c>
      <c r="I217" s="5"/>
      <c r="J217" s="5"/>
      <c r="K217" s="5">
        <v>214</v>
      </c>
      <c r="L217" s="5">
        <v>16</v>
      </c>
      <c r="M217" s="5">
        <v>3</v>
      </c>
      <c r="N217" s="5" t="s">
        <v>3</v>
      </c>
      <c r="O217" s="5">
        <v>2</v>
      </c>
      <c r="P217" s="5">
        <f>ROUND(Source!EK200,O217)</f>
        <v>162412.41</v>
      </c>
      <c r="Q217" s="5"/>
      <c r="R217" s="5"/>
      <c r="S217" s="5"/>
      <c r="T217" s="5"/>
      <c r="U217" s="5"/>
      <c r="V217" s="5"/>
      <c r="W217" s="5">
        <v>162412.41</v>
      </c>
      <c r="X217" s="5">
        <v>1</v>
      </c>
      <c r="Y217" s="5">
        <v>162412.41</v>
      </c>
      <c r="Z217" s="5">
        <v>162412.41</v>
      </c>
      <c r="AA217" s="5">
        <v>1</v>
      </c>
      <c r="AB217" s="5">
        <v>1916033.46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215</v>
      </c>
      <c r="F218" s="5">
        <f>ROUND(Source!AT200,O218)</f>
        <v>0</v>
      </c>
      <c r="G218" s="5" t="s">
        <v>99</v>
      </c>
      <c r="H218" s="5" t="s">
        <v>100</v>
      </c>
      <c r="I218" s="5"/>
      <c r="J218" s="5"/>
      <c r="K218" s="5">
        <v>215</v>
      </c>
      <c r="L218" s="5">
        <v>17</v>
      </c>
      <c r="M218" s="5">
        <v>3</v>
      </c>
      <c r="N218" s="5" t="s">
        <v>3</v>
      </c>
      <c r="O218" s="5">
        <v>2</v>
      </c>
      <c r="P218" s="5">
        <f>ROUND(Source!EL200,O218)</f>
        <v>0</v>
      </c>
      <c r="Q218" s="5"/>
      <c r="R218" s="5"/>
      <c r="S218" s="5"/>
      <c r="T218" s="5"/>
      <c r="U218" s="5"/>
      <c r="V218" s="5"/>
      <c r="W218" s="5">
        <v>0</v>
      </c>
      <c r="X218" s="5">
        <v>1</v>
      </c>
      <c r="Y218" s="5">
        <v>0</v>
      </c>
      <c r="Z218" s="5">
        <v>0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217</v>
      </c>
      <c r="F219" s="5">
        <f>ROUND(Source!AU200,O219)</f>
        <v>0</v>
      </c>
      <c r="G219" s="5" t="s">
        <v>101</v>
      </c>
      <c r="H219" s="5" t="s">
        <v>102</v>
      </c>
      <c r="I219" s="5"/>
      <c r="J219" s="5"/>
      <c r="K219" s="5">
        <v>217</v>
      </c>
      <c r="L219" s="5">
        <v>18</v>
      </c>
      <c r="M219" s="5">
        <v>3</v>
      </c>
      <c r="N219" s="5" t="s">
        <v>3</v>
      </c>
      <c r="O219" s="5">
        <v>2</v>
      </c>
      <c r="P219" s="5">
        <f>ROUND(Source!EM200,O219)</f>
        <v>0</v>
      </c>
      <c r="Q219" s="5"/>
      <c r="R219" s="5"/>
      <c r="S219" s="5"/>
      <c r="T219" s="5"/>
      <c r="U219" s="5"/>
      <c r="V219" s="5"/>
      <c r="W219" s="5">
        <v>0</v>
      </c>
      <c r="X219" s="5">
        <v>1</v>
      </c>
      <c r="Y219" s="5">
        <v>0</v>
      </c>
      <c r="Z219" s="5">
        <v>0</v>
      </c>
      <c r="AA219" s="5">
        <v>1</v>
      </c>
      <c r="AB219" s="5">
        <v>0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230</v>
      </c>
      <c r="F220" s="5">
        <f>ROUND(Source!BA200,O220)</f>
        <v>0</v>
      </c>
      <c r="G220" s="5" t="s">
        <v>103</v>
      </c>
      <c r="H220" s="5" t="s">
        <v>104</v>
      </c>
      <c r="I220" s="5"/>
      <c r="J220" s="5"/>
      <c r="K220" s="5">
        <v>230</v>
      </c>
      <c r="L220" s="5">
        <v>19</v>
      </c>
      <c r="M220" s="5">
        <v>3</v>
      </c>
      <c r="N220" s="5" t="s">
        <v>3</v>
      </c>
      <c r="O220" s="5">
        <v>2</v>
      </c>
      <c r="P220" s="5">
        <f>ROUND(Source!ES200,O220)</f>
        <v>0</v>
      </c>
      <c r="Q220" s="5"/>
      <c r="R220" s="5"/>
      <c r="S220" s="5"/>
      <c r="T220" s="5"/>
      <c r="U220" s="5"/>
      <c r="V220" s="5"/>
      <c r="W220" s="5">
        <v>0</v>
      </c>
      <c r="X220" s="5">
        <v>1</v>
      </c>
      <c r="Y220" s="5">
        <v>0</v>
      </c>
      <c r="Z220" s="5">
        <v>0</v>
      </c>
      <c r="AA220" s="5">
        <v>1</v>
      </c>
      <c r="AB220" s="5">
        <v>0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206</v>
      </c>
      <c r="F221" s="5">
        <f>ROUND(Source!T200,O221)</f>
        <v>0</v>
      </c>
      <c r="G221" s="5" t="s">
        <v>105</v>
      </c>
      <c r="H221" s="5" t="s">
        <v>106</v>
      </c>
      <c r="I221" s="5"/>
      <c r="J221" s="5"/>
      <c r="K221" s="5">
        <v>206</v>
      </c>
      <c r="L221" s="5">
        <v>20</v>
      </c>
      <c r="M221" s="5">
        <v>3</v>
      </c>
      <c r="N221" s="5" t="s">
        <v>3</v>
      </c>
      <c r="O221" s="5">
        <v>2</v>
      </c>
      <c r="P221" s="5">
        <f>ROUND(Source!DL200,O221)</f>
        <v>0</v>
      </c>
      <c r="Q221" s="5"/>
      <c r="R221" s="5"/>
      <c r="S221" s="5"/>
      <c r="T221" s="5"/>
      <c r="U221" s="5"/>
      <c r="V221" s="5"/>
      <c r="W221" s="5">
        <v>0</v>
      </c>
      <c r="X221" s="5">
        <v>1</v>
      </c>
      <c r="Y221" s="5">
        <v>0</v>
      </c>
      <c r="Z221" s="5">
        <v>0</v>
      </c>
      <c r="AA221" s="5">
        <v>1</v>
      </c>
      <c r="AB221" s="5">
        <v>0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207</v>
      </c>
      <c r="F222" s="5">
        <f>Source!U200</f>
        <v>970.8064895</v>
      </c>
      <c r="G222" s="5" t="s">
        <v>107</v>
      </c>
      <c r="H222" s="5" t="s">
        <v>108</v>
      </c>
      <c r="I222" s="5"/>
      <c r="J222" s="5"/>
      <c r="K222" s="5">
        <v>207</v>
      </c>
      <c r="L222" s="5">
        <v>21</v>
      </c>
      <c r="M222" s="5">
        <v>3</v>
      </c>
      <c r="N222" s="5" t="s">
        <v>3</v>
      </c>
      <c r="O222" s="5">
        <v>-1</v>
      </c>
      <c r="P222" s="5">
        <f>Source!DM200</f>
        <v>970.8064895</v>
      </c>
      <c r="Q222" s="5"/>
      <c r="R222" s="5"/>
      <c r="S222" s="5"/>
      <c r="T222" s="5"/>
      <c r="U222" s="5"/>
      <c r="V222" s="5"/>
      <c r="W222" s="5">
        <v>970.8064895</v>
      </c>
      <c r="X222" s="5">
        <v>1</v>
      </c>
      <c r="Y222" s="5">
        <v>970.8064895</v>
      </c>
      <c r="Z222" s="5">
        <v>970.8064895</v>
      </c>
      <c r="AA222" s="5">
        <v>1</v>
      </c>
      <c r="AB222" s="5">
        <v>970.8064895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208</v>
      </c>
      <c r="F223" s="5">
        <f>Source!V200</f>
        <v>28.759895</v>
      </c>
      <c r="G223" s="5" t="s">
        <v>109</v>
      </c>
      <c r="H223" s="5" t="s">
        <v>110</v>
      </c>
      <c r="I223" s="5"/>
      <c r="J223" s="5"/>
      <c r="K223" s="5">
        <v>208</v>
      </c>
      <c r="L223" s="5">
        <v>22</v>
      </c>
      <c r="M223" s="5">
        <v>3</v>
      </c>
      <c r="N223" s="5" t="s">
        <v>3</v>
      </c>
      <c r="O223" s="5">
        <v>-1</v>
      </c>
      <c r="P223" s="5">
        <f>Source!DN200</f>
        <v>28.759895</v>
      </c>
      <c r="Q223" s="5"/>
      <c r="R223" s="5"/>
      <c r="S223" s="5"/>
      <c r="T223" s="5"/>
      <c r="U223" s="5"/>
      <c r="V223" s="5"/>
      <c r="W223" s="5">
        <v>28.759895</v>
      </c>
      <c r="X223" s="5">
        <v>1</v>
      </c>
      <c r="Y223" s="5">
        <v>28.759895</v>
      </c>
      <c r="Z223" s="5">
        <v>28.759895</v>
      </c>
      <c r="AA223" s="5">
        <v>1</v>
      </c>
      <c r="AB223" s="5">
        <v>28.759895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209</v>
      </c>
      <c r="F224" s="5">
        <f>ROUND(Source!W200,O224)</f>
        <v>0</v>
      </c>
      <c r="G224" s="5" t="s">
        <v>111</v>
      </c>
      <c r="H224" s="5" t="s">
        <v>112</v>
      </c>
      <c r="I224" s="5"/>
      <c r="J224" s="5"/>
      <c r="K224" s="5">
        <v>209</v>
      </c>
      <c r="L224" s="5">
        <v>23</v>
      </c>
      <c r="M224" s="5">
        <v>3</v>
      </c>
      <c r="N224" s="5" t="s">
        <v>3</v>
      </c>
      <c r="O224" s="5">
        <v>2</v>
      </c>
      <c r="P224" s="5">
        <f>ROUND(Source!DO200,O224)</f>
        <v>0</v>
      </c>
      <c r="Q224" s="5"/>
      <c r="R224" s="5"/>
      <c r="S224" s="5"/>
      <c r="T224" s="5"/>
      <c r="U224" s="5"/>
      <c r="V224" s="5"/>
      <c r="W224" s="5">
        <v>0</v>
      </c>
      <c r="X224" s="5">
        <v>1</v>
      </c>
      <c r="Y224" s="5">
        <v>0</v>
      </c>
      <c r="Z224" s="5">
        <v>0</v>
      </c>
      <c r="AA224" s="5">
        <v>1</v>
      </c>
      <c r="AB224" s="5">
        <v>0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233</v>
      </c>
      <c r="F225" s="5">
        <f>ROUND(Source!BD200,O225)</f>
        <v>1238.73</v>
      </c>
      <c r="G225" s="5" t="s">
        <v>113</v>
      </c>
      <c r="H225" s="5" t="s">
        <v>114</v>
      </c>
      <c r="I225" s="5"/>
      <c r="J225" s="5"/>
      <c r="K225" s="5">
        <v>233</v>
      </c>
      <c r="L225" s="5">
        <v>24</v>
      </c>
      <c r="M225" s="5">
        <v>3</v>
      </c>
      <c r="N225" s="5" t="s">
        <v>3</v>
      </c>
      <c r="O225" s="5">
        <v>2</v>
      </c>
      <c r="P225" s="5">
        <f>ROUND(Source!EV200,O225)</f>
        <v>1238.73</v>
      </c>
      <c r="Q225" s="5"/>
      <c r="R225" s="5"/>
      <c r="S225" s="5"/>
      <c r="T225" s="5"/>
      <c r="U225" s="5"/>
      <c r="V225" s="5"/>
      <c r="W225" s="5">
        <v>1238.73</v>
      </c>
      <c r="X225" s="5">
        <v>1</v>
      </c>
      <c r="Y225" s="5">
        <v>1238.73</v>
      </c>
      <c r="Z225" s="5">
        <v>1238.73</v>
      </c>
      <c r="AA225" s="5">
        <v>1</v>
      </c>
      <c r="AB225" s="5">
        <v>16066.33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210</v>
      </c>
      <c r="F226" s="5">
        <f>ROUND(Source!X200,O226)</f>
        <v>10404.97</v>
      </c>
      <c r="G226" s="5" t="s">
        <v>115</v>
      </c>
      <c r="H226" s="5" t="s">
        <v>116</v>
      </c>
      <c r="I226" s="5"/>
      <c r="J226" s="5"/>
      <c r="K226" s="5">
        <v>210</v>
      </c>
      <c r="L226" s="5">
        <v>25</v>
      </c>
      <c r="M226" s="5">
        <v>3</v>
      </c>
      <c r="N226" s="5" t="s">
        <v>3</v>
      </c>
      <c r="O226" s="5">
        <v>2</v>
      </c>
      <c r="P226" s="5">
        <f>ROUND(Source!DP200,O226)</f>
        <v>10404.97</v>
      </c>
      <c r="Q226" s="5"/>
      <c r="R226" s="5"/>
      <c r="S226" s="5"/>
      <c r="T226" s="5"/>
      <c r="U226" s="5"/>
      <c r="V226" s="5"/>
      <c r="W226" s="5">
        <v>10404.97</v>
      </c>
      <c r="X226" s="5">
        <v>1</v>
      </c>
      <c r="Y226" s="5">
        <v>10404.97</v>
      </c>
      <c r="Z226" s="5">
        <v>10404.97</v>
      </c>
      <c r="AA226" s="5">
        <v>1</v>
      </c>
      <c r="AB226" s="5">
        <v>379468.92000000004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211</v>
      </c>
      <c r="F227" s="5">
        <f>ROUND(Source!Y200,O227)</f>
        <v>7413.96</v>
      </c>
      <c r="G227" s="5" t="s">
        <v>117</v>
      </c>
      <c r="H227" s="5" t="s">
        <v>118</v>
      </c>
      <c r="I227" s="5"/>
      <c r="J227" s="5"/>
      <c r="K227" s="5">
        <v>211</v>
      </c>
      <c r="L227" s="5">
        <v>26</v>
      </c>
      <c r="M227" s="5">
        <v>3</v>
      </c>
      <c r="N227" s="5" t="s">
        <v>3</v>
      </c>
      <c r="O227" s="5">
        <v>2</v>
      </c>
      <c r="P227" s="5">
        <f>ROUND(Source!DQ200,O227)</f>
        <v>7413.96</v>
      </c>
      <c r="Q227" s="5"/>
      <c r="R227" s="5"/>
      <c r="S227" s="5"/>
      <c r="T227" s="5"/>
      <c r="U227" s="5"/>
      <c r="V227" s="5"/>
      <c r="W227" s="5">
        <v>7413.96</v>
      </c>
      <c r="X227" s="5">
        <v>1</v>
      </c>
      <c r="Y227" s="5">
        <v>7413.96</v>
      </c>
      <c r="Z227" s="5">
        <v>7413.96</v>
      </c>
      <c r="AA227" s="5">
        <v>1</v>
      </c>
      <c r="AB227" s="5">
        <v>270387.48</v>
      </c>
    </row>
    <row r="228" spans="1:28" ht="12.75">
      <c r="A228" s="5">
        <v>50</v>
      </c>
      <c r="B228" s="5">
        <v>0</v>
      </c>
      <c r="C228" s="5">
        <v>0</v>
      </c>
      <c r="D228" s="5">
        <v>1</v>
      </c>
      <c r="E228" s="5">
        <v>0</v>
      </c>
      <c r="F228" s="5">
        <f>ROUND(Source!AR200,O228)</f>
        <v>162412.41</v>
      </c>
      <c r="G228" s="5" t="s">
        <v>119</v>
      </c>
      <c r="H228" s="5" t="s">
        <v>120</v>
      </c>
      <c r="I228" s="5"/>
      <c r="J228" s="5"/>
      <c r="K228" s="5">
        <v>224</v>
      </c>
      <c r="L228" s="5">
        <v>27</v>
      </c>
      <c r="M228" s="5">
        <v>3</v>
      </c>
      <c r="N228" s="5" t="s">
        <v>3</v>
      </c>
      <c r="O228" s="5">
        <v>2</v>
      </c>
      <c r="P228" s="5">
        <f>ROUND(Source!EJ200,O228)</f>
        <v>162412.41</v>
      </c>
      <c r="Q228" s="5"/>
      <c r="R228" s="5"/>
      <c r="S228" s="5"/>
      <c r="T228" s="5"/>
      <c r="U228" s="5"/>
      <c r="V228" s="5"/>
      <c r="W228" s="5">
        <v>162412.40999999997</v>
      </c>
      <c r="X228" s="5">
        <v>1</v>
      </c>
      <c r="Y228" s="5">
        <v>162412.40999999997</v>
      </c>
      <c r="Z228" s="5">
        <v>162412.40999999997</v>
      </c>
      <c r="AA228" s="5">
        <v>1</v>
      </c>
      <c r="AB228" s="5">
        <v>1916033.46</v>
      </c>
    </row>
    <row r="229" spans="1:28" ht="12.75">
      <c r="A229" s="5">
        <v>50</v>
      </c>
      <c r="B229" s="5">
        <v>1</v>
      </c>
      <c r="C229" s="5">
        <v>0</v>
      </c>
      <c r="D229" s="5">
        <v>2</v>
      </c>
      <c r="E229" s="5">
        <v>0</v>
      </c>
      <c r="F229" s="5">
        <f>ROUND(F206,O229)</f>
        <v>132624.83</v>
      </c>
      <c r="G229" s="5" t="s">
        <v>276</v>
      </c>
      <c r="H229" s="5" t="s">
        <v>276</v>
      </c>
      <c r="I229" s="5"/>
      <c r="J229" s="5"/>
      <c r="K229" s="5">
        <v>212</v>
      </c>
      <c r="L229" s="5">
        <v>28</v>
      </c>
      <c r="M229" s="5">
        <v>0</v>
      </c>
      <c r="N229" s="5" t="s">
        <v>3</v>
      </c>
      <c r="O229" s="5">
        <v>2</v>
      </c>
      <c r="P229" s="5">
        <f>ROUND(P206,O229)</f>
        <v>132624.83</v>
      </c>
      <c r="Q229" s="5"/>
      <c r="R229" s="5"/>
      <c r="S229" s="5"/>
      <c r="T229" s="5"/>
      <c r="U229" s="5"/>
      <c r="V229" s="5"/>
      <c r="W229" s="5">
        <v>132624.83</v>
      </c>
      <c r="X229" s="5">
        <v>1</v>
      </c>
      <c r="Y229" s="5">
        <v>132624.83</v>
      </c>
      <c r="Z229" s="5">
        <v>132624.83</v>
      </c>
      <c r="AA229" s="5">
        <v>1</v>
      </c>
      <c r="AB229" s="5">
        <v>904501.34</v>
      </c>
    </row>
    <row r="230" spans="1:28" ht="12.75">
      <c r="A230" s="5">
        <v>50</v>
      </c>
      <c r="B230" s="5">
        <v>1</v>
      </c>
      <c r="C230" s="5">
        <v>0</v>
      </c>
      <c r="D230" s="5">
        <v>2</v>
      </c>
      <c r="E230" s="5">
        <v>0</v>
      </c>
      <c r="F230" s="5">
        <f>ROUND(F228,O230)</f>
        <v>162412.41</v>
      </c>
      <c r="G230" s="5" t="s">
        <v>121</v>
      </c>
      <c r="H230" s="5" t="s">
        <v>122</v>
      </c>
      <c r="I230" s="5"/>
      <c r="J230" s="5"/>
      <c r="K230" s="5">
        <v>212</v>
      </c>
      <c r="L230" s="5">
        <v>29</v>
      </c>
      <c r="M230" s="5">
        <v>0</v>
      </c>
      <c r="N230" s="5" t="s">
        <v>3</v>
      </c>
      <c r="O230" s="5">
        <v>2</v>
      </c>
      <c r="P230" s="5">
        <f>ROUND(P228,O230)</f>
        <v>162412.41</v>
      </c>
      <c r="Q230" s="5"/>
      <c r="R230" s="5"/>
      <c r="S230" s="5"/>
      <c r="T230" s="5"/>
      <c r="U230" s="5"/>
      <c r="V230" s="5"/>
      <c r="W230" s="5">
        <v>162412.41</v>
      </c>
      <c r="X230" s="5">
        <v>1</v>
      </c>
      <c r="Y230" s="5">
        <v>162412.41</v>
      </c>
      <c r="Z230" s="5">
        <v>162412.41</v>
      </c>
      <c r="AA230" s="5">
        <v>1</v>
      </c>
      <c r="AB230" s="5">
        <v>1916033.46</v>
      </c>
    </row>
    <row r="231" spans="1:28" ht="12.75">
      <c r="A231" s="5">
        <v>50</v>
      </c>
      <c r="B231" s="5">
        <v>1</v>
      </c>
      <c r="C231" s="5">
        <v>0</v>
      </c>
      <c r="D231" s="5">
        <v>2</v>
      </c>
      <c r="E231" s="5">
        <v>0</v>
      </c>
      <c r="F231" s="5">
        <f>ROUND(F230*0.2,O231)</f>
        <v>32482.48</v>
      </c>
      <c r="G231" s="5" t="s">
        <v>277</v>
      </c>
      <c r="H231" s="5" t="s">
        <v>278</v>
      </c>
      <c r="I231" s="5"/>
      <c r="J231" s="5"/>
      <c r="K231" s="5">
        <v>212</v>
      </c>
      <c r="L231" s="5">
        <v>32</v>
      </c>
      <c r="M231" s="5">
        <v>0</v>
      </c>
      <c r="N231" s="5" t="s">
        <v>3</v>
      </c>
      <c r="O231" s="5">
        <v>2</v>
      </c>
      <c r="P231" s="5">
        <f>ROUND(P230*0.2,O231)</f>
        <v>32482.48</v>
      </c>
      <c r="Q231" s="5"/>
      <c r="R231" s="5"/>
      <c r="S231" s="5"/>
      <c r="T231" s="5"/>
      <c r="U231" s="5"/>
      <c r="V231" s="5"/>
      <c r="W231" s="5">
        <v>32482.48</v>
      </c>
      <c r="X231" s="5">
        <v>1</v>
      </c>
      <c r="Y231" s="5">
        <v>32482.48</v>
      </c>
      <c r="Z231" s="5">
        <v>32482.48</v>
      </c>
      <c r="AA231" s="5">
        <v>1</v>
      </c>
      <c r="AB231" s="5">
        <v>383206.69</v>
      </c>
    </row>
    <row r="232" spans="1:28" ht="12.75">
      <c r="A232" s="5">
        <v>50</v>
      </c>
      <c r="B232" s="5">
        <v>1</v>
      </c>
      <c r="C232" s="5">
        <v>0</v>
      </c>
      <c r="D232" s="5">
        <v>2</v>
      </c>
      <c r="E232" s="5">
        <v>224</v>
      </c>
      <c r="F232" s="5">
        <f>ROUND(F230+F231,O232)</f>
        <v>194894.89</v>
      </c>
      <c r="G232" s="5" t="s">
        <v>279</v>
      </c>
      <c r="H232" s="5" t="s">
        <v>280</v>
      </c>
      <c r="I232" s="5"/>
      <c r="J232" s="5"/>
      <c r="K232" s="5">
        <v>212</v>
      </c>
      <c r="L232" s="5">
        <v>33</v>
      </c>
      <c r="M232" s="5">
        <v>0</v>
      </c>
      <c r="N232" s="5" t="s">
        <v>3</v>
      </c>
      <c r="O232" s="5">
        <v>2</v>
      </c>
      <c r="P232" s="5">
        <f>ROUND(P230+P231,O232)</f>
        <v>194894.89</v>
      </c>
      <c r="Q232" s="5"/>
      <c r="R232" s="5"/>
      <c r="S232" s="5"/>
      <c r="T232" s="5"/>
      <c r="U232" s="5"/>
      <c r="V232" s="5"/>
      <c r="W232" s="5">
        <v>194894.89</v>
      </c>
      <c r="X232" s="5">
        <v>1</v>
      </c>
      <c r="Y232" s="5">
        <v>194894.89</v>
      </c>
      <c r="Z232" s="5">
        <v>194894.89</v>
      </c>
      <c r="AA232" s="5">
        <v>1</v>
      </c>
      <c r="AB232" s="5">
        <v>2299240.15</v>
      </c>
    </row>
    <row r="234" spans="1:206" ht="12.75">
      <c r="A234" s="3">
        <v>51</v>
      </c>
      <c r="B234" s="3">
        <f>B12</f>
        <v>298</v>
      </c>
      <c r="C234" s="3">
        <f>A12</f>
        <v>1</v>
      </c>
      <c r="D234" s="3">
        <f>ROW(A12)</f>
        <v>12</v>
      </c>
      <c r="E234" s="3"/>
      <c r="F234" s="3">
        <f>IF(F12&lt;&gt;"",F12,"")</f>
      </c>
      <c r="G234" s="3" t="str">
        <f>IF(G12&lt;&gt;"",G12,"")</f>
        <v>Выполнение работ по текущему ремонту гранитной облицовки пола ИПУ РАН (главный вход, стрение 2)</v>
      </c>
      <c r="H234" s="3">
        <v>0</v>
      </c>
      <c r="I234" s="3"/>
      <c r="J234" s="3"/>
      <c r="K234" s="3"/>
      <c r="L234" s="3"/>
      <c r="M234" s="3"/>
      <c r="N234" s="3"/>
      <c r="O234" s="3">
        <f aca="true" t="shared" si="185" ref="O234:T234">ROUND(O200,2)</f>
        <v>143354.75</v>
      </c>
      <c r="P234" s="3">
        <f t="shared" si="185"/>
        <v>132624.83</v>
      </c>
      <c r="Q234" s="3">
        <f t="shared" si="185"/>
        <v>1945.14</v>
      </c>
      <c r="R234" s="3">
        <f t="shared" si="185"/>
        <v>321.25</v>
      </c>
      <c r="S234" s="3">
        <f t="shared" si="185"/>
        <v>8784.78</v>
      </c>
      <c r="T234" s="3">
        <f t="shared" si="185"/>
        <v>0</v>
      </c>
      <c r="U234" s="3">
        <f>U200</f>
        <v>970.8064895</v>
      </c>
      <c r="V234" s="3">
        <f>V200</f>
        <v>28.759895</v>
      </c>
      <c r="W234" s="3">
        <f>ROUND(W200,2)</f>
        <v>0</v>
      </c>
      <c r="X234" s="3">
        <f>ROUND(X200,2)</f>
        <v>10404.97</v>
      </c>
      <c r="Y234" s="3">
        <f>ROUND(Y200,2)</f>
        <v>7413.96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>
        <f aca="true" t="shared" si="186" ref="AO234:BD234">ROUND(AO200,2)</f>
        <v>0</v>
      </c>
      <c r="AP234" s="3">
        <f t="shared" si="186"/>
        <v>0</v>
      </c>
      <c r="AQ234" s="3">
        <f t="shared" si="186"/>
        <v>0</v>
      </c>
      <c r="AR234" s="3">
        <f t="shared" si="186"/>
        <v>162412.41</v>
      </c>
      <c r="AS234" s="3">
        <f t="shared" si="186"/>
        <v>162412.41</v>
      </c>
      <c r="AT234" s="3">
        <f t="shared" si="186"/>
        <v>0</v>
      </c>
      <c r="AU234" s="3">
        <f t="shared" si="186"/>
        <v>0</v>
      </c>
      <c r="AV234" s="3">
        <f t="shared" si="186"/>
        <v>132624.83</v>
      </c>
      <c r="AW234" s="3">
        <f t="shared" si="186"/>
        <v>132624.83</v>
      </c>
      <c r="AX234" s="3">
        <f t="shared" si="186"/>
        <v>0</v>
      </c>
      <c r="AY234" s="3">
        <f t="shared" si="186"/>
        <v>132624.83</v>
      </c>
      <c r="AZ234" s="3">
        <f t="shared" si="186"/>
        <v>0</v>
      </c>
      <c r="BA234" s="3">
        <f t="shared" si="186"/>
        <v>0</v>
      </c>
      <c r="BB234" s="3">
        <f t="shared" si="186"/>
        <v>0</v>
      </c>
      <c r="BC234" s="3">
        <f t="shared" si="186"/>
        <v>0</v>
      </c>
      <c r="BD234" s="3">
        <f t="shared" si="186"/>
        <v>1238.73</v>
      </c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4">
        <f aca="true" t="shared" si="187" ref="DG234:DL234">ROUND(DG200,2)</f>
        <v>143354.75</v>
      </c>
      <c r="DH234" s="4">
        <f t="shared" si="187"/>
        <v>132624.83</v>
      </c>
      <c r="DI234" s="4">
        <f t="shared" si="187"/>
        <v>1945.14</v>
      </c>
      <c r="DJ234" s="4">
        <f t="shared" si="187"/>
        <v>321.25</v>
      </c>
      <c r="DK234" s="4">
        <f t="shared" si="187"/>
        <v>8784.78</v>
      </c>
      <c r="DL234" s="4">
        <f t="shared" si="187"/>
        <v>0</v>
      </c>
      <c r="DM234" s="4">
        <f>DM200</f>
        <v>970.8064895</v>
      </c>
      <c r="DN234" s="4">
        <f>DN200</f>
        <v>28.759895</v>
      </c>
      <c r="DO234" s="4">
        <f>ROUND(DO200,2)</f>
        <v>0</v>
      </c>
      <c r="DP234" s="4">
        <f>ROUND(DP200,2)</f>
        <v>10404.97</v>
      </c>
      <c r="DQ234" s="4">
        <f>ROUND(DQ200,2)</f>
        <v>7413.96</v>
      </c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>
        <f aca="true" t="shared" si="188" ref="EG234:EV234">ROUND(EG200,2)</f>
        <v>0</v>
      </c>
      <c r="EH234" s="4">
        <f t="shared" si="188"/>
        <v>0</v>
      </c>
      <c r="EI234" s="4">
        <f t="shared" si="188"/>
        <v>0</v>
      </c>
      <c r="EJ234" s="4">
        <f t="shared" si="188"/>
        <v>162412.41</v>
      </c>
      <c r="EK234" s="4">
        <f t="shared" si="188"/>
        <v>162412.41</v>
      </c>
      <c r="EL234" s="4">
        <f t="shared" si="188"/>
        <v>0</v>
      </c>
      <c r="EM234" s="4">
        <f t="shared" si="188"/>
        <v>0</v>
      </c>
      <c r="EN234" s="4">
        <f t="shared" si="188"/>
        <v>132624.83</v>
      </c>
      <c r="EO234" s="4">
        <f t="shared" si="188"/>
        <v>132624.83</v>
      </c>
      <c r="EP234" s="4">
        <f t="shared" si="188"/>
        <v>0</v>
      </c>
      <c r="EQ234" s="4">
        <f t="shared" si="188"/>
        <v>132624.83</v>
      </c>
      <c r="ER234" s="4">
        <f t="shared" si="188"/>
        <v>0</v>
      </c>
      <c r="ES234" s="4">
        <f t="shared" si="188"/>
        <v>0</v>
      </c>
      <c r="ET234" s="4">
        <f t="shared" si="188"/>
        <v>0</v>
      </c>
      <c r="EU234" s="4">
        <f t="shared" si="188"/>
        <v>0</v>
      </c>
      <c r="EV234" s="4">
        <f t="shared" si="188"/>
        <v>1238.73</v>
      </c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>
        <v>0</v>
      </c>
    </row>
    <row r="236" spans="1:28" ht="12.75">
      <c r="A236" s="5">
        <v>50</v>
      </c>
      <c r="B236" s="5">
        <v>0</v>
      </c>
      <c r="C236" s="5">
        <v>0</v>
      </c>
      <c r="D236" s="5">
        <v>1</v>
      </c>
      <c r="E236" s="5">
        <v>201</v>
      </c>
      <c r="F236" s="5">
        <f>ROUND(Source!O234,O236)</f>
        <v>143354.75</v>
      </c>
      <c r="G236" s="5" t="s">
        <v>67</v>
      </c>
      <c r="H236" s="5" t="s">
        <v>68</v>
      </c>
      <c r="I236" s="5"/>
      <c r="J236" s="5"/>
      <c r="K236" s="5">
        <v>201</v>
      </c>
      <c r="L236" s="5">
        <v>1</v>
      </c>
      <c r="M236" s="5">
        <v>3</v>
      </c>
      <c r="N236" s="5" t="s">
        <v>3</v>
      </c>
      <c r="O236" s="5">
        <v>2</v>
      </c>
      <c r="P236" s="5">
        <f>ROUND(Source!DG234,O236)</f>
        <v>143354.75</v>
      </c>
      <c r="Q236" s="5"/>
      <c r="R236" s="5"/>
      <c r="S236" s="5"/>
      <c r="T236" s="5"/>
      <c r="U236" s="5"/>
      <c r="V236" s="5"/>
      <c r="W236" s="5">
        <v>144593.47999999998</v>
      </c>
      <c r="X236" s="5">
        <v>1</v>
      </c>
      <c r="Y236" s="5">
        <v>144593.47999999998</v>
      </c>
      <c r="Z236" s="5">
        <v>144593.47999999998</v>
      </c>
      <c r="AA236" s="5">
        <v>1</v>
      </c>
      <c r="AB236" s="5">
        <v>1266177.06</v>
      </c>
    </row>
    <row r="237" spans="1:28" ht="12.75">
      <c r="A237" s="5">
        <v>50</v>
      </c>
      <c r="B237" s="5">
        <v>0</v>
      </c>
      <c r="C237" s="5">
        <v>0</v>
      </c>
      <c r="D237" s="5">
        <v>1</v>
      </c>
      <c r="E237" s="5">
        <v>202</v>
      </c>
      <c r="F237" s="5">
        <f>ROUND(Source!P234,O237)</f>
        <v>132624.83</v>
      </c>
      <c r="G237" s="5" t="s">
        <v>69</v>
      </c>
      <c r="H237" s="5" t="s">
        <v>70</v>
      </c>
      <c r="I237" s="5"/>
      <c r="J237" s="5"/>
      <c r="K237" s="5">
        <v>202</v>
      </c>
      <c r="L237" s="5">
        <v>2</v>
      </c>
      <c r="M237" s="5">
        <v>3</v>
      </c>
      <c r="N237" s="5" t="s">
        <v>3</v>
      </c>
      <c r="O237" s="5">
        <v>2</v>
      </c>
      <c r="P237" s="5">
        <f>ROUND(Source!DH234,O237)</f>
        <v>132624.83</v>
      </c>
      <c r="Q237" s="5"/>
      <c r="R237" s="5"/>
      <c r="S237" s="5"/>
      <c r="T237" s="5"/>
      <c r="U237" s="5"/>
      <c r="V237" s="5"/>
      <c r="W237" s="5">
        <v>132624.83</v>
      </c>
      <c r="X237" s="5">
        <v>1</v>
      </c>
      <c r="Y237" s="5">
        <v>132624.83</v>
      </c>
      <c r="Z237" s="5">
        <v>132624.83</v>
      </c>
      <c r="AA237" s="5">
        <v>1</v>
      </c>
      <c r="AB237" s="5">
        <v>0</v>
      </c>
    </row>
    <row r="238" spans="1:28" ht="12.75">
      <c r="A238" s="5">
        <v>50</v>
      </c>
      <c r="B238" s="5">
        <v>0</v>
      </c>
      <c r="C238" s="5">
        <v>0</v>
      </c>
      <c r="D238" s="5">
        <v>1</v>
      </c>
      <c r="E238" s="5">
        <v>222</v>
      </c>
      <c r="F238" s="5">
        <f>ROUND(Source!AO234,O238)</f>
        <v>0</v>
      </c>
      <c r="G238" s="5" t="s">
        <v>71</v>
      </c>
      <c r="H238" s="5" t="s">
        <v>72</v>
      </c>
      <c r="I238" s="5"/>
      <c r="J238" s="5"/>
      <c r="K238" s="5">
        <v>222</v>
      </c>
      <c r="L238" s="5">
        <v>3</v>
      </c>
      <c r="M238" s="5">
        <v>3</v>
      </c>
      <c r="N238" s="5" t="s">
        <v>3</v>
      </c>
      <c r="O238" s="5">
        <v>2</v>
      </c>
      <c r="P238" s="5">
        <f>ROUND(Source!EG234,O238)</f>
        <v>0</v>
      </c>
      <c r="Q238" s="5"/>
      <c r="R238" s="5"/>
      <c r="S238" s="5"/>
      <c r="T238" s="5"/>
      <c r="U238" s="5"/>
      <c r="V238" s="5"/>
      <c r="W238" s="5">
        <v>0</v>
      </c>
      <c r="X238" s="5">
        <v>1</v>
      </c>
      <c r="Y238" s="5">
        <v>0</v>
      </c>
      <c r="Z238" s="5">
        <v>0</v>
      </c>
      <c r="AA238" s="5">
        <v>1</v>
      </c>
      <c r="AB238" s="5">
        <v>0</v>
      </c>
    </row>
    <row r="239" spans="1:28" ht="12.75">
      <c r="A239" s="5">
        <v>50</v>
      </c>
      <c r="B239" s="5">
        <v>0</v>
      </c>
      <c r="C239" s="5">
        <v>0</v>
      </c>
      <c r="D239" s="5">
        <v>1</v>
      </c>
      <c r="E239" s="5">
        <v>225</v>
      </c>
      <c r="F239" s="5">
        <f>ROUND(Source!AV234,O239)</f>
        <v>132624.83</v>
      </c>
      <c r="G239" s="5" t="s">
        <v>73</v>
      </c>
      <c r="H239" s="5" t="s">
        <v>74</v>
      </c>
      <c r="I239" s="5"/>
      <c r="J239" s="5"/>
      <c r="K239" s="5">
        <v>225</v>
      </c>
      <c r="L239" s="5">
        <v>4</v>
      </c>
      <c r="M239" s="5">
        <v>3</v>
      </c>
      <c r="N239" s="5" t="s">
        <v>3</v>
      </c>
      <c r="O239" s="5">
        <v>2</v>
      </c>
      <c r="P239" s="5">
        <f>ROUND(Source!EN234,O239)</f>
        <v>132624.83</v>
      </c>
      <c r="Q239" s="5"/>
      <c r="R239" s="5"/>
      <c r="S239" s="5"/>
      <c r="T239" s="5"/>
      <c r="U239" s="5"/>
      <c r="V239" s="5"/>
      <c r="W239" s="5">
        <v>132624.83</v>
      </c>
      <c r="X239" s="5">
        <v>1</v>
      </c>
      <c r="Y239" s="5">
        <v>132624.83</v>
      </c>
      <c r="Z239" s="5">
        <v>132624.83</v>
      </c>
      <c r="AA239" s="5">
        <v>1</v>
      </c>
      <c r="AB239" s="5">
        <v>0</v>
      </c>
    </row>
    <row r="240" spans="1:28" ht="12.75">
      <c r="A240" s="5">
        <v>50</v>
      </c>
      <c r="B240" s="5">
        <v>0</v>
      </c>
      <c r="C240" s="5">
        <v>0</v>
      </c>
      <c r="D240" s="5">
        <v>1</v>
      </c>
      <c r="E240" s="5">
        <v>226</v>
      </c>
      <c r="F240" s="5">
        <f>ROUND(Source!AW234,O240)</f>
        <v>132624.83</v>
      </c>
      <c r="G240" s="5" t="s">
        <v>75</v>
      </c>
      <c r="H240" s="5" t="s">
        <v>76</v>
      </c>
      <c r="I240" s="5"/>
      <c r="J240" s="5"/>
      <c r="K240" s="5">
        <v>226</v>
      </c>
      <c r="L240" s="5">
        <v>5</v>
      </c>
      <c r="M240" s="5">
        <v>3</v>
      </c>
      <c r="N240" s="5" t="s">
        <v>3</v>
      </c>
      <c r="O240" s="5">
        <v>2</v>
      </c>
      <c r="P240" s="5">
        <f>ROUND(Source!EO234,O240)</f>
        <v>132624.83</v>
      </c>
      <c r="Q240" s="5"/>
      <c r="R240" s="5"/>
      <c r="S240" s="5"/>
      <c r="T240" s="5"/>
      <c r="U240" s="5"/>
      <c r="V240" s="5"/>
      <c r="W240" s="5">
        <v>132624.83</v>
      </c>
      <c r="X240" s="5">
        <v>1</v>
      </c>
      <c r="Y240" s="5">
        <v>132624.83</v>
      </c>
      <c r="Z240" s="5">
        <v>132624.83</v>
      </c>
      <c r="AA240" s="5">
        <v>1</v>
      </c>
      <c r="AB240" s="5">
        <v>904501.34</v>
      </c>
    </row>
    <row r="241" spans="1:28" ht="12.75">
      <c r="A241" s="5">
        <v>50</v>
      </c>
      <c r="B241" s="5">
        <v>0</v>
      </c>
      <c r="C241" s="5">
        <v>0</v>
      </c>
      <c r="D241" s="5">
        <v>1</v>
      </c>
      <c r="E241" s="5">
        <v>227</v>
      </c>
      <c r="F241" s="5">
        <f>ROUND(Source!AX234,O241)</f>
        <v>0</v>
      </c>
      <c r="G241" s="5" t="s">
        <v>77</v>
      </c>
      <c r="H241" s="5" t="s">
        <v>78</v>
      </c>
      <c r="I241" s="5"/>
      <c r="J241" s="5"/>
      <c r="K241" s="5">
        <v>227</v>
      </c>
      <c r="L241" s="5">
        <v>6</v>
      </c>
      <c r="M241" s="5">
        <v>3</v>
      </c>
      <c r="N241" s="5" t="s">
        <v>3</v>
      </c>
      <c r="O241" s="5">
        <v>2</v>
      </c>
      <c r="P241" s="5">
        <f>ROUND(Source!EP234,O241)</f>
        <v>0</v>
      </c>
      <c r="Q241" s="5"/>
      <c r="R241" s="5"/>
      <c r="S241" s="5"/>
      <c r="T241" s="5"/>
      <c r="U241" s="5"/>
      <c r="V241" s="5"/>
      <c r="W241" s="5">
        <v>0</v>
      </c>
      <c r="X241" s="5">
        <v>1</v>
      </c>
      <c r="Y241" s="5">
        <v>0</v>
      </c>
      <c r="Z241" s="5">
        <v>0</v>
      </c>
      <c r="AA241" s="5">
        <v>1</v>
      </c>
      <c r="AB241" s="5">
        <v>0</v>
      </c>
    </row>
    <row r="242" spans="1:28" ht="12.75">
      <c r="A242" s="5">
        <v>50</v>
      </c>
      <c r="B242" s="5">
        <v>1</v>
      </c>
      <c r="C242" s="5">
        <v>0</v>
      </c>
      <c r="D242" s="5">
        <v>1</v>
      </c>
      <c r="E242" s="5">
        <v>228</v>
      </c>
      <c r="F242" s="5">
        <f>ROUND(Source!AY234,O242)</f>
        <v>132624.83</v>
      </c>
      <c r="G242" s="5" t="s">
        <v>79</v>
      </c>
      <c r="H242" s="5" t="s">
        <v>80</v>
      </c>
      <c r="I242" s="5"/>
      <c r="J242" s="5"/>
      <c r="K242" s="5">
        <v>228</v>
      </c>
      <c r="L242" s="5">
        <v>7</v>
      </c>
      <c r="M242" s="5">
        <v>0</v>
      </c>
      <c r="N242" s="5" t="s">
        <v>3</v>
      </c>
      <c r="O242" s="5">
        <v>2</v>
      </c>
      <c r="P242" s="5">
        <f>ROUND(Source!EQ234,O242)</f>
        <v>132624.83</v>
      </c>
      <c r="Q242" s="5"/>
      <c r="R242" s="5"/>
      <c r="S242" s="5"/>
      <c r="T242" s="5"/>
      <c r="U242" s="5"/>
      <c r="V242" s="5"/>
      <c r="W242" s="5">
        <v>132624.83</v>
      </c>
      <c r="X242" s="5">
        <v>1</v>
      </c>
      <c r="Y242" s="5">
        <v>132624.83</v>
      </c>
      <c r="Z242" s="5">
        <v>132624.83</v>
      </c>
      <c r="AA242" s="5">
        <v>1</v>
      </c>
      <c r="AB242" s="5">
        <v>904501.34</v>
      </c>
    </row>
    <row r="243" spans="1:28" ht="12.75">
      <c r="A243" s="5">
        <v>50</v>
      </c>
      <c r="B243" s="5">
        <v>0</v>
      </c>
      <c r="C243" s="5">
        <v>0</v>
      </c>
      <c r="D243" s="5">
        <v>1</v>
      </c>
      <c r="E243" s="5">
        <v>216</v>
      </c>
      <c r="F243" s="5">
        <f>ROUND(Source!AP234,O243)</f>
        <v>0</v>
      </c>
      <c r="G243" s="5" t="s">
        <v>81</v>
      </c>
      <c r="H243" s="5" t="s">
        <v>82</v>
      </c>
      <c r="I243" s="5"/>
      <c r="J243" s="5"/>
      <c r="K243" s="5">
        <v>216</v>
      </c>
      <c r="L243" s="5">
        <v>8</v>
      </c>
      <c r="M243" s="5">
        <v>3</v>
      </c>
      <c r="N243" s="5" t="s">
        <v>3</v>
      </c>
      <c r="O243" s="5">
        <v>2</v>
      </c>
      <c r="P243" s="5">
        <f>ROUND(Source!EH234,O243)</f>
        <v>0</v>
      </c>
      <c r="Q243" s="5"/>
      <c r="R243" s="5"/>
      <c r="S243" s="5"/>
      <c r="T243" s="5"/>
      <c r="U243" s="5"/>
      <c r="V243" s="5"/>
      <c r="W243" s="5">
        <v>0</v>
      </c>
      <c r="X243" s="5">
        <v>1</v>
      </c>
      <c r="Y243" s="5">
        <v>0</v>
      </c>
      <c r="Z243" s="5">
        <v>0</v>
      </c>
      <c r="AA243" s="5">
        <v>1</v>
      </c>
      <c r="AB243" s="5">
        <v>0</v>
      </c>
    </row>
    <row r="244" spans="1:28" ht="12.75">
      <c r="A244" s="5">
        <v>50</v>
      </c>
      <c r="B244" s="5">
        <v>0</v>
      </c>
      <c r="C244" s="5">
        <v>0</v>
      </c>
      <c r="D244" s="5">
        <v>1</v>
      </c>
      <c r="E244" s="5">
        <v>223</v>
      </c>
      <c r="F244" s="5">
        <f>ROUND(Source!AQ234,O244)</f>
        <v>0</v>
      </c>
      <c r="G244" s="5" t="s">
        <v>83</v>
      </c>
      <c r="H244" s="5" t="s">
        <v>84</v>
      </c>
      <c r="I244" s="5"/>
      <c r="J244" s="5"/>
      <c r="K244" s="5">
        <v>223</v>
      </c>
      <c r="L244" s="5">
        <v>9</v>
      </c>
      <c r="M244" s="5">
        <v>3</v>
      </c>
      <c r="N244" s="5" t="s">
        <v>3</v>
      </c>
      <c r="O244" s="5">
        <v>2</v>
      </c>
      <c r="P244" s="5">
        <f>ROUND(Source!EI234,O244)</f>
        <v>0</v>
      </c>
      <c r="Q244" s="5"/>
      <c r="R244" s="5"/>
      <c r="S244" s="5"/>
      <c r="T244" s="5"/>
      <c r="U244" s="5"/>
      <c r="V244" s="5"/>
      <c r="W244" s="5">
        <v>0</v>
      </c>
      <c r="X244" s="5">
        <v>1</v>
      </c>
      <c r="Y244" s="5">
        <v>0</v>
      </c>
      <c r="Z244" s="5">
        <v>0</v>
      </c>
      <c r="AA244" s="5">
        <v>1</v>
      </c>
      <c r="AB244" s="5">
        <v>0</v>
      </c>
    </row>
    <row r="245" spans="1:28" ht="12.75">
      <c r="A245" s="5">
        <v>50</v>
      </c>
      <c r="B245" s="5">
        <v>0</v>
      </c>
      <c r="C245" s="5">
        <v>0</v>
      </c>
      <c r="D245" s="5">
        <v>1</v>
      </c>
      <c r="E245" s="5">
        <v>229</v>
      </c>
      <c r="F245" s="5">
        <f>ROUND(Source!AZ234,O245)</f>
        <v>0</v>
      </c>
      <c r="G245" s="5" t="s">
        <v>85</v>
      </c>
      <c r="H245" s="5" t="s">
        <v>86</v>
      </c>
      <c r="I245" s="5"/>
      <c r="J245" s="5"/>
      <c r="K245" s="5">
        <v>229</v>
      </c>
      <c r="L245" s="5">
        <v>10</v>
      </c>
      <c r="M245" s="5">
        <v>3</v>
      </c>
      <c r="N245" s="5" t="s">
        <v>3</v>
      </c>
      <c r="O245" s="5">
        <v>2</v>
      </c>
      <c r="P245" s="5">
        <f>ROUND(Source!ER234,O245)</f>
        <v>0</v>
      </c>
      <c r="Q245" s="5"/>
      <c r="R245" s="5"/>
      <c r="S245" s="5"/>
      <c r="T245" s="5"/>
      <c r="U245" s="5"/>
      <c r="V245" s="5"/>
      <c r="W245" s="5">
        <v>0</v>
      </c>
      <c r="X245" s="5">
        <v>1</v>
      </c>
      <c r="Y245" s="5">
        <v>0</v>
      </c>
      <c r="Z245" s="5">
        <v>0</v>
      </c>
      <c r="AA245" s="5">
        <v>1</v>
      </c>
      <c r="AB245" s="5">
        <v>0</v>
      </c>
    </row>
    <row r="246" spans="1:28" ht="12.75">
      <c r="A246" s="5">
        <v>50</v>
      </c>
      <c r="B246" s="5">
        <v>0</v>
      </c>
      <c r="C246" s="5">
        <v>0</v>
      </c>
      <c r="D246" s="5">
        <v>1</v>
      </c>
      <c r="E246" s="5">
        <v>203</v>
      </c>
      <c r="F246" s="5">
        <f>ROUND(Source!Q234,O246)</f>
        <v>1945.14</v>
      </c>
      <c r="G246" s="5" t="s">
        <v>87</v>
      </c>
      <c r="H246" s="5" t="s">
        <v>88</v>
      </c>
      <c r="I246" s="5"/>
      <c r="J246" s="5"/>
      <c r="K246" s="5">
        <v>203</v>
      </c>
      <c r="L246" s="5">
        <v>11</v>
      </c>
      <c r="M246" s="5">
        <v>3</v>
      </c>
      <c r="N246" s="5" t="s">
        <v>3</v>
      </c>
      <c r="O246" s="5">
        <v>2</v>
      </c>
      <c r="P246" s="5">
        <f>ROUND(Source!DI234,O246)</f>
        <v>1945.14</v>
      </c>
      <c r="Q246" s="5"/>
      <c r="R246" s="5"/>
      <c r="S246" s="5"/>
      <c r="T246" s="5"/>
      <c r="U246" s="5"/>
      <c r="V246" s="5"/>
      <c r="W246" s="5">
        <v>1945.1399999999999</v>
      </c>
      <c r="X246" s="5">
        <v>1</v>
      </c>
      <c r="Y246" s="5">
        <v>1945.1399999999999</v>
      </c>
      <c r="Z246" s="5">
        <v>1945.1399999999999</v>
      </c>
      <c r="AA246" s="5">
        <v>1</v>
      </c>
      <c r="AB246" s="5">
        <v>25228.47</v>
      </c>
    </row>
    <row r="247" spans="1:28" ht="12.75">
      <c r="A247" s="5">
        <v>50</v>
      </c>
      <c r="B247" s="5">
        <v>0</v>
      </c>
      <c r="C247" s="5">
        <v>0</v>
      </c>
      <c r="D247" s="5">
        <v>1</v>
      </c>
      <c r="E247" s="5">
        <v>231</v>
      </c>
      <c r="F247" s="5">
        <f>ROUND(Source!BB234,O247)</f>
        <v>0</v>
      </c>
      <c r="G247" s="5" t="s">
        <v>89</v>
      </c>
      <c r="H247" s="5" t="s">
        <v>90</v>
      </c>
      <c r="I247" s="5"/>
      <c r="J247" s="5"/>
      <c r="K247" s="5">
        <v>231</v>
      </c>
      <c r="L247" s="5">
        <v>12</v>
      </c>
      <c r="M247" s="5">
        <v>3</v>
      </c>
      <c r="N247" s="5" t="s">
        <v>3</v>
      </c>
      <c r="O247" s="5">
        <v>2</v>
      </c>
      <c r="P247" s="5">
        <f>ROUND(Source!ET234,O247)</f>
        <v>0</v>
      </c>
      <c r="Q247" s="5"/>
      <c r="R247" s="5"/>
      <c r="S247" s="5"/>
      <c r="T247" s="5"/>
      <c r="U247" s="5"/>
      <c r="V247" s="5"/>
      <c r="W247" s="5">
        <v>0</v>
      </c>
      <c r="X247" s="5">
        <v>1</v>
      </c>
      <c r="Y247" s="5">
        <v>0</v>
      </c>
      <c r="Z247" s="5">
        <v>0</v>
      </c>
      <c r="AA247" s="5">
        <v>1</v>
      </c>
      <c r="AB247" s="5">
        <v>0</v>
      </c>
    </row>
    <row r="248" spans="1:28" ht="12.75">
      <c r="A248" s="5">
        <v>50</v>
      </c>
      <c r="B248" s="5">
        <v>0</v>
      </c>
      <c r="C248" s="5">
        <v>0</v>
      </c>
      <c r="D248" s="5">
        <v>1</v>
      </c>
      <c r="E248" s="5">
        <v>204</v>
      </c>
      <c r="F248" s="5">
        <f>ROUND(Source!R234,O248)</f>
        <v>321.25</v>
      </c>
      <c r="G248" s="5" t="s">
        <v>91</v>
      </c>
      <c r="H248" s="5" t="s">
        <v>92</v>
      </c>
      <c r="I248" s="5"/>
      <c r="J248" s="5"/>
      <c r="K248" s="5">
        <v>204</v>
      </c>
      <c r="L248" s="5">
        <v>13</v>
      </c>
      <c r="M248" s="5">
        <v>3</v>
      </c>
      <c r="N248" s="5" t="s">
        <v>3</v>
      </c>
      <c r="O248" s="5">
        <v>2</v>
      </c>
      <c r="P248" s="5">
        <f>ROUND(Source!DJ234,O248)</f>
        <v>321.25</v>
      </c>
      <c r="Q248" s="5"/>
      <c r="R248" s="5"/>
      <c r="S248" s="5"/>
      <c r="T248" s="5"/>
      <c r="U248" s="5"/>
      <c r="V248" s="5"/>
      <c r="W248" s="5">
        <v>321.25</v>
      </c>
      <c r="X248" s="5">
        <v>1</v>
      </c>
      <c r="Y248" s="5">
        <v>321.25</v>
      </c>
      <c r="Z248" s="5">
        <v>321.25</v>
      </c>
      <c r="AA248" s="5">
        <v>1</v>
      </c>
      <c r="AB248" s="5">
        <v>11716</v>
      </c>
    </row>
    <row r="249" spans="1:28" ht="12.75">
      <c r="A249" s="5">
        <v>50</v>
      </c>
      <c r="B249" s="5">
        <v>0</v>
      </c>
      <c r="C249" s="5">
        <v>0</v>
      </c>
      <c r="D249" s="5">
        <v>1</v>
      </c>
      <c r="E249" s="5">
        <v>205</v>
      </c>
      <c r="F249" s="5">
        <f>ROUND(Source!S234,O249)</f>
        <v>8784.78</v>
      </c>
      <c r="G249" s="5" t="s">
        <v>93</v>
      </c>
      <c r="H249" s="5" t="s">
        <v>94</v>
      </c>
      <c r="I249" s="5"/>
      <c r="J249" s="5"/>
      <c r="K249" s="5">
        <v>205</v>
      </c>
      <c r="L249" s="5">
        <v>14</v>
      </c>
      <c r="M249" s="5">
        <v>3</v>
      </c>
      <c r="N249" s="5" t="s">
        <v>3</v>
      </c>
      <c r="O249" s="5">
        <v>2</v>
      </c>
      <c r="P249" s="5">
        <f>ROUND(Source!DK234,O249)</f>
        <v>8784.78</v>
      </c>
      <c r="Q249" s="5"/>
      <c r="R249" s="5"/>
      <c r="S249" s="5"/>
      <c r="T249" s="5"/>
      <c r="U249" s="5"/>
      <c r="V249" s="5"/>
      <c r="W249" s="5">
        <v>8784.78</v>
      </c>
      <c r="X249" s="5">
        <v>1</v>
      </c>
      <c r="Y249" s="5">
        <v>8784.78</v>
      </c>
      <c r="Z249" s="5">
        <v>8784.78</v>
      </c>
      <c r="AA249" s="5">
        <v>1</v>
      </c>
      <c r="AB249" s="5">
        <v>320380.92</v>
      </c>
    </row>
    <row r="250" spans="1:28" ht="12.75">
      <c r="A250" s="5">
        <v>50</v>
      </c>
      <c r="B250" s="5">
        <v>0</v>
      </c>
      <c r="C250" s="5">
        <v>0</v>
      </c>
      <c r="D250" s="5">
        <v>1</v>
      </c>
      <c r="E250" s="5">
        <v>232</v>
      </c>
      <c r="F250" s="5">
        <f>ROUND(Source!BC234,O250)</f>
        <v>0</v>
      </c>
      <c r="G250" s="5" t="s">
        <v>95</v>
      </c>
      <c r="H250" s="5" t="s">
        <v>96</v>
      </c>
      <c r="I250" s="5"/>
      <c r="J250" s="5"/>
      <c r="K250" s="5">
        <v>232</v>
      </c>
      <c r="L250" s="5">
        <v>15</v>
      </c>
      <c r="M250" s="5">
        <v>3</v>
      </c>
      <c r="N250" s="5" t="s">
        <v>3</v>
      </c>
      <c r="O250" s="5">
        <v>2</v>
      </c>
      <c r="P250" s="5">
        <f>ROUND(Source!EU234,O250)</f>
        <v>0</v>
      </c>
      <c r="Q250" s="5"/>
      <c r="R250" s="5"/>
      <c r="S250" s="5"/>
      <c r="T250" s="5"/>
      <c r="U250" s="5"/>
      <c r="V250" s="5"/>
      <c r="W250" s="5">
        <v>0</v>
      </c>
      <c r="X250" s="5">
        <v>1</v>
      </c>
      <c r="Y250" s="5">
        <v>0</v>
      </c>
      <c r="Z250" s="5">
        <v>0</v>
      </c>
      <c r="AA250" s="5">
        <v>1</v>
      </c>
      <c r="AB250" s="5">
        <v>0</v>
      </c>
    </row>
    <row r="251" spans="1:28" ht="12.75">
      <c r="A251" s="5">
        <v>50</v>
      </c>
      <c r="B251" s="5">
        <v>0</v>
      </c>
      <c r="C251" s="5">
        <v>0</v>
      </c>
      <c r="D251" s="5">
        <v>1</v>
      </c>
      <c r="E251" s="5">
        <v>214</v>
      </c>
      <c r="F251" s="5">
        <f>ROUND(Source!AS234,O251)</f>
        <v>162412.41</v>
      </c>
      <c r="G251" s="5" t="s">
        <v>97</v>
      </c>
      <c r="H251" s="5" t="s">
        <v>98</v>
      </c>
      <c r="I251" s="5"/>
      <c r="J251" s="5"/>
      <c r="K251" s="5">
        <v>214</v>
      </c>
      <c r="L251" s="5">
        <v>16</v>
      </c>
      <c r="M251" s="5">
        <v>3</v>
      </c>
      <c r="N251" s="5" t="s">
        <v>3</v>
      </c>
      <c r="O251" s="5">
        <v>2</v>
      </c>
      <c r="P251" s="5">
        <f>ROUND(Source!EK234,O251)</f>
        <v>162412.41</v>
      </c>
      <c r="Q251" s="5"/>
      <c r="R251" s="5"/>
      <c r="S251" s="5"/>
      <c r="T251" s="5"/>
      <c r="U251" s="5"/>
      <c r="V251" s="5"/>
      <c r="W251" s="5">
        <v>162412.41</v>
      </c>
      <c r="X251" s="5">
        <v>1</v>
      </c>
      <c r="Y251" s="5">
        <v>162412.41</v>
      </c>
      <c r="Z251" s="5">
        <v>162412.41</v>
      </c>
      <c r="AA251" s="5">
        <v>1</v>
      </c>
      <c r="AB251" s="5">
        <v>1916033.46</v>
      </c>
    </row>
    <row r="252" spans="1:28" ht="12.75">
      <c r="A252" s="5">
        <v>50</v>
      </c>
      <c r="B252" s="5">
        <v>0</v>
      </c>
      <c r="C252" s="5">
        <v>0</v>
      </c>
      <c r="D252" s="5">
        <v>1</v>
      </c>
      <c r="E252" s="5">
        <v>215</v>
      </c>
      <c r="F252" s="5">
        <f>ROUND(Source!AT234,O252)</f>
        <v>0</v>
      </c>
      <c r="G252" s="5" t="s">
        <v>99</v>
      </c>
      <c r="H252" s="5" t="s">
        <v>100</v>
      </c>
      <c r="I252" s="5"/>
      <c r="J252" s="5"/>
      <c r="K252" s="5">
        <v>215</v>
      </c>
      <c r="L252" s="5">
        <v>17</v>
      </c>
      <c r="M252" s="5">
        <v>3</v>
      </c>
      <c r="N252" s="5" t="s">
        <v>3</v>
      </c>
      <c r="O252" s="5">
        <v>2</v>
      </c>
      <c r="P252" s="5">
        <f>ROUND(Source!EL234,O252)</f>
        <v>0</v>
      </c>
      <c r="Q252" s="5"/>
      <c r="R252" s="5"/>
      <c r="S252" s="5"/>
      <c r="T252" s="5"/>
      <c r="U252" s="5"/>
      <c r="V252" s="5"/>
      <c r="W252" s="5">
        <v>0</v>
      </c>
      <c r="X252" s="5">
        <v>1</v>
      </c>
      <c r="Y252" s="5">
        <v>0</v>
      </c>
      <c r="Z252" s="5">
        <v>0</v>
      </c>
      <c r="AA252" s="5">
        <v>1</v>
      </c>
      <c r="AB252" s="5">
        <v>0</v>
      </c>
    </row>
    <row r="253" spans="1:28" ht="12.75">
      <c r="A253" s="5">
        <v>50</v>
      </c>
      <c r="B253" s="5">
        <v>0</v>
      </c>
      <c r="C253" s="5">
        <v>0</v>
      </c>
      <c r="D253" s="5">
        <v>1</v>
      </c>
      <c r="E253" s="5">
        <v>217</v>
      </c>
      <c r="F253" s="5">
        <f>ROUND(Source!AU234,O253)</f>
        <v>0</v>
      </c>
      <c r="G253" s="5" t="s">
        <v>101</v>
      </c>
      <c r="H253" s="5" t="s">
        <v>102</v>
      </c>
      <c r="I253" s="5"/>
      <c r="J253" s="5"/>
      <c r="K253" s="5">
        <v>217</v>
      </c>
      <c r="L253" s="5">
        <v>18</v>
      </c>
      <c r="M253" s="5">
        <v>3</v>
      </c>
      <c r="N253" s="5" t="s">
        <v>3</v>
      </c>
      <c r="O253" s="5">
        <v>2</v>
      </c>
      <c r="P253" s="5">
        <f>ROUND(Source!EM234,O253)</f>
        <v>0</v>
      </c>
      <c r="Q253" s="5"/>
      <c r="R253" s="5"/>
      <c r="S253" s="5"/>
      <c r="T253" s="5"/>
      <c r="U253" s="5"/>
      <c r="V253" s="5"/>
      <c r="W253" s="5">
        <v>0</v>
      </c>
      <c r="X253" s="5">
        <v>1</v>
      </c>
      <c r="Y253" s="5">
        <v>0</v>
      </c>
      <c r="Z253" s="5">
        <v>0</v>
      </c>
      <c r="AA253" s="5">
        <v>1</v>
      </c>
      <c r="AB253" s="5">
        <v>0</v>
      </c>
    </row>
    <row r="254" spans="1:28" ht="12.75">
      <c r="A254" s="5">
        <v>50</v>
      </c>
      <c r="B254" s="5">
        <v>0</v>
      </c>
      <c r="C254" s="5">
        <v>0</v>
      </c>
      <c r="D254" s="5">
        <v>1</v>
      </c>
      <c r="E254" s="5">
        <v>230</v>
      </c>
      <c r="F254" s="5">
        <f>ROUND(Source!BA234,O254)</f>
        <v>0</v>
      </c>
      <c r="G254" s="5" t="s">
        <v>103</v>
      </c>
      <c r="H254" s="5" t="s">
        <v>104</v>
      </c>
      <c r="I254" s="5"/>
      <c r="J254" s="5"/>
      <c r="K254" s="5">
        <v>230</v>
      </c>
      <c r="L254" s="5">
        <v>19</v>
      </c>
      <c r="M254" s="5">
        <v>3</v>
      </c>
      <c r="N254" s="5" t="s">
        <v>3</v>
      </c>
      <c r="O254" s="5">
        <v>2</v>
      </c>
      <c r="P254" s="5">
        <f>ROUND(Source!ES234,O254)</f>
        <v>0</v>
      </c>
      <c r="Q254" s="5"/>
      <c r="R254" s="5"/>
      <c r="S254" s="5"/>
      <c r="T254" s="5"/>
      <c r="U254" s="5"/>
      <c r="V254" s="5"/>
      <c r="W254" s="5">
        <v>0</v>
      </c>
      <c r="X254" s="5">
        <v>1</v>
      </c>
      <c r="Y254" s="5">
        <v>0</v>
      </c>
      <c r="Z254" s="5">
        <v>0</v>
      </c>
      <c r="AA254" s="5">
        <v>1</v>
      </c>
      <c r="AB254" s="5">
        <v>0</v>
      </c>
    </row>
    <row r="255" spans="1:28" ht="12.75">
      <c r="A255" s="5">
        <v>50</v>
      </c>
      <c r="B255" s="5">
        <v>0</v>
      </c>
      <c r="C255" s="5">
        <v>0</v>
      </c>
      <c r="D255" s="5">
        <v>1</v>
      </c>
      <c r="E255" s="5">
        <v>206</v>
      </c>
      <c r="F255" s="5">
        <f>ROUND(Source!T234,O255)</f>
        <v>0</v>
      </c>
      <c r="G255" s="5" t="s">
        <v>105</v>
      </c>
      <c r="H255" s="5" t="s">
        <v>106</v>
      </c>
      <c r="I255" s="5"/>
      <c r="J255" s="5"/>
      <c r="K255" s="5">
        <v>206</v>
      </c>
      <c r="L255" s="5">
        <v>20</v>
      </c>
      <c r="M255" s="5">
        <v>3</v>
      </c>
      <c r="N255" s="5" t="s">
        <v>3</v>
      </c>
      <c r="O255" s="5">
        <v>2</v>
      </c>
      <c r="P255" s="5">
        <f>ROUND(Source!DL234,O255)</f>
        <v>0</v>
      </c>
      <c r="Q255" s="5"/>
      <c r="R255" s="5"/>
      <c r="S255" s="5"/>
      <c r="T255" s="5"/>
      <c r="U255" s="5"/>
      <c r="V255" s="5"/>
      <c r="W255" s="5">
        <v>0</v>
      </c>
      <c r="X255" s="5">
        <v>1</v>
      </c>
      <c r="Y255" s="5">
        <v>0</v>
      </c>
      <c r="Z255" s="5">
        <v>0</v>
      </c>
      <c r="AA255" s="5">
        <v>1</v>
      </c>
      <c r="AB255" s="5">
        <v>0</v>
      </c>
    </row>
    <row r="256" spans="1:28" ht="12.75">
      <c r="A256" s="5">
        <v>50</v>
      </c>
      <c r="B256" s="5">
        <v>0</v>
      </c>
      <c r="C256" s="5">
        <v>0</v>
      </c>
      <c r="D256" s="5">
        <v>1</v>
      </c>
      <c r="E256" s="5">
        <v>207</v>
      </c>
      <c r="F256" s="5">
        <f>Source!U234</f>
        <v>970.8064895</v>
      </c>
      <c r="G256" s="5" t="s">
        <v>107</v>
      </c>
      <c r="H256" s="5" t="s">
        <v>108</v>
      </c>
      <c r="I256" s="5"/>
      <c r="J256" s="5"/>
      <c r="K256" s="5">
        <v>207</v>
      </c>
      <c r="L256" s="5">
        <v>21</v>
      </c>
      <c r="M256" s="5">
        <v>3</v>
      </c>
      <c r="N256" s="5" t="s">
        <v>3</v>
      </c>
      <c r="O256" s="5">
        <v>-1</v>
      </c>
      <c r="P256" s="5">
        <f>Source!DM234</f>
        <v>970.8064895</v>
      </c>
      <c r="Q256" s="5"/>
      <c r="R256" s="5"/>
      <c r="S256" s="5"/>
      <c r="T256" s="5"/>
      <c r="U256" s="5"/>
      <c r="V256" s="5"/>
      <c r="W256" s="5">
        <v>970.8064895</v>
      </c>
      <c r="X256" s="5">
        <v>1</v>
      </c>
      <c r="Y256" s="5">
        <v>970.8064895</v>
      </c>
      <c r="Z256" s="5">
        <v>970.8064895</v>
      </c>
      <c r="AA256" s="5">
        <v>1</v>
      </c>
      <c r="AB256" s="5">
        <v>970.8064895</v>
      </c>
    </row>
    <row r="257" spans="1:28" ht="12.75">
      <c r="A257" s="5">
        <v>50</v>
      </c>
      <c r="B257" s="5">
        <v>0</v>
      </c>
      <c r="C257" s="5">
        <v>0</v>
      </c>
      <c r="D257" s="5">
        <v>1</v>
      </c>
      <c r="E257" s="5">
        <v>208</v>
      </c>
      <c r="F257" s="5">
        <f>Source!V234</f>
        <v>28.759895</v>
      </c>
      <c r="G257" s="5" t="s">
        <v>109</v>
      </c>
      <c r="H257" s="5" t="s">
        <v>110</v>
      </c>
      <c r="I257" s="5"/>
      <c r="J257" s="5"/>
      <c r="K257" s="5">
        <v>208</v>
      </c>
      <c r="L257" s="5">
        <v>22</v>
      </c>
      <c r="M257" s="5">
        <v>3</v>
      </c>
      <c r="N257" s="5" t="s">
        <v>3</v>
      </c>
      <c r="O257" s="5">
        <v>-1</v>
      </c>
      <c r="P257" s="5">
        <f>Source!DN234</f>
        <v>28.759895</v>
      </c>
      <c r="Q257" s="5"/>
      <c r="R257" s="5"/>
      <c r="S257" s="5"/>
      <c r="T257" s="5"/>
      <c r="U257" s="5"/>
      <c r="V257" s="5"/>
      <c r="W257" s="5">
        <v>28.759895</v>
      </c>
      <c r="X257" s="5">
        <v>1</v>
      </c>
      <c r="Y257" s="5">
        <v>28.759895</v>
      </c>
      <c r="Z257" s="5">
        <v>28.759895</v>
      </c>
      <c r="AA257" s="5">
        <v>1</v>
      </c>
      <c r="AB257" s="5">
        <v>28.759895</v>
      </c>
    </row>
    <row r="258" spans="1:28" ht="12.75">
      <c r="A258" s="5">
        <v>50</v>
      </c>
      <c r="B258" s="5">
        <v>0</v>
      </c>
      <c r="C258" s="5">
        <v>0</v>
      </c>
      <c r="D258" s="5">
        <v>1</v>
      </c>
      <c r="E258" s="5">
        <v>209</v>
      </c>
      <c r="F258" s="5">
        <f>ROUND(Source!W234,O258)</f>
        <v>0</v>
      </c>
      <c r="G258" s="5" t="s">
        <v>111</v>
      </c>
      <c r="H258" s="5" t="s">
        <v>112</v>
      </c>
      <c r="I258" s="5"/>
      <c r="J258" s="5"/>
      <c r="K258" s="5">
        <v>209</v>
      </c>
      <c r="L258" s="5">
        <v>23</v>
      </c>
      <c r="M258" s="5">
        <v>3</v>
      </c>
      <c r="N258" s="5" t="s">
        <v>3</v>
      </c>
      <c r="O258" s="5">
        <v>2</v>
      </c>
      <c r="P258" s="5">
        <f>ROUND(Source!DO234,O258)</f>
        <v>0</v>
      </c>
      <c r="Q258" s="5"/>
      <c r="R258" s="5"/>
      <c r="S258" s="5"/>
      <c r="T258" s="5"/>
      <c r="U258" s="5"/>
      <c r="V258" s="5"/>
      <c r="W258" s="5">
        <v>0</v>
      </c>
      <c r="X258" s="5">
        <v>1</v>
      </c>
      <c r="Y258" s="5">
        <v>0</v>
      </c>
      <c r="Z258" s="5">
        <v>0</v>
      </c>
      <c r="AA258" s="5">
        <v>1</v>
      </c>
      <c r="AB258" s="5">
        <v>0</v>
      </c>
    </row>
    <row r="259" spans="1:28" ht="12.75">
      <c r="A259" s="5">
        <v>50</v>
      </c>
      <c r="B259" s="5">
        <v>0</v>
      </c>
      <c r="C259" s="5">
        <v>0</v>
      </c>
      <c r="D259" s="5">
        <v>1</v>
      </c>
      <c r="E259" s="5">
        <v>233</v>
      </c>
      <c r="F259" s="5">
        <f>ROUND(Source!BD234,O259)</f>
        <v>1238.73</v>
      </c>
      <c r="G259" s="5" t="s">
        <v>113</v>
      </c>
      <c r="H259" s="5" t="s">
        <v>114</v>
      </c>
      <c r="I259" s="5"/>
      <c r="J259" s="5"/>
      <c r="K259" s="5">
        <v>233</v>
      </c>
      <c r="L259" s="5">
        <v>24</v>
      </c>
      <c r="M259" s="5">
        <v>3</v>
      </c>
      <c r="N259" s="5" t="s">
        <v>3</v>
      </c>
      <c r="O259" s="5">
        <v>2</v>
      </c>
      <c r="P259" s="5">
        <f>ROUND(Source!EV234,O259)</f>
        <v>1238.73</v>
      </c>
      <c r="Q259" s="5"/>
      <c r="R259" s="5"/>
      <c r="S259" s="5"/>
      <c r="T259" s="5"/>
      <c r="U259" s="5"/>
      <c r="V259" s="5"/>
      <c r="W259" s="5">
        <v>1238.73</v>
      </c>
      <c r="X259" s="5">
        <v>1</v>
      </c>
      <c r="Y259" s="5">
        <v>1238.73</v>
      </c>
      <c r="Z259" s="5">
        <v>1238.73</v>
      </c>
      <c r="AA259" s="5">
        <v>1</v>
      </c>
      <c r="AB259" s="5">
        <v>16066.33</v>
      </c>
    </row>
    <row r="260" spans="1:28" ht="12.75">
      <c r="A260" s="5">
        <v>50</v>
      </c>
      <c r="B260" s="5">
        <v>0</v>
      </c>
      <c r="C260" s="5">
        <v>0</v>
      </c>
      <c r="D260" s="5">
        <v>1</v>
      </c>
      <c r="E260" s="5">
        <v>210</v>
      </c>
      <c r="F260" s="5">
        <f>ROUND(Source!X234,O260)</f>
        <v>10404.97</v>
      </c>
      <c r="G260" s="5" t="s">
        <v>115</v>
      </c>
      <c r="H260" s="5" t="s">
        <v>116</v>
      </c>
      <c r="I260" s="5"/>
      <c r="J260" s="5"/>
      <c r="K260" s="5">
        <v>210</v>
      </c>
      <c r="L260" s="5">
        <v>25</v>
      </c>
      <c r="M260" s="5">
        <v>3</v>
      </c>
      <c r="N260" s="5" t="s">
        <v>3</v>
      </c>
      <c r="O260" s="5">
        <v>2</v>
      </c>
      <c r="P260" s="5">
        <f>ROUND(Source!DP234,O260)</f>
        <v>10404.97</v>
      </c>
      <c r="Q260" s="5"/>
      <c r="R260" s="5"/>
      <c r="S260" s="5"/>
      <c r="T260" s="5"/>
      <c r="U260" s="5"/>
      <c r="V260" s="5"/>
      <c r="W260" s="5">
        <v>10404.97</v>
      </c>
      <c r="X260" s="5">
        <v>1</v>
      </c>
      <c r="Y260" s="5">
        <v>10404.97</v>
      </c>
      <c r="Z260" s="5">
        <v>10404.97</v>
      </c>
      <c r="AA260" s="5">
        <v>1</v>
      </c>
      <c r="AB260" s="5">
        <v>379468.92</v>
      </c>
    </row>
    <row r="261" spans="1:28" ht="12.75">
      <c r="A261" s="5">
        <v>50</v>
      </c>
      <c r="B261" s="5">
        <v>0</v>
      </c>
      <c r="C261" s="5">
        <v>0</v>
      </c>
      <c r="D261" s="5">
        <v>1</v>
      </c>
      <c r="E261" s="5">
        <v>211</v>
      </c>
      <c r="F261" s="5">
        <f>ROUND(Source!Y234,O261)</f>
        <v>7413.96</v>
      </c>
      <c r="G261" s="5" t="s">
        <v>117</v>
      </c>
      <c r="H261" s="5" t="s">
        <v>118</v>
      </c>
      <c r="I261" s="5"/>
      <c r="J261" s="5"/>
      <c r="K261" s="5">
        <v>211</v>
      </c>
      <c r="L261" s="5">
        <v>26</v>
      </c>
      <c r="M261" s="5">
        <v>3</v>
      </c>
      <c r="N261" s="5" t="s">
        <v>3</v>
      </c>
      <c r="O261" s="5">
        <v>2</v>
      </c>
      <c r="P261" s="5">
        <f>ROUND(Source!DQ234,O261)</f>
        <v>7413.96</v>
      </c>
      <c r="Q261" s="5"/>
      <c r="R261" s="5"/>
      <c r="S261" s="5"/>
      <c r="T261" s="5"/>
      <c r="U261" s="5"/>
      <c r="V261" s="5"/>
      <c r="W261" s="5">
        <v>7413.96</v>
      </c>
      <c r="X261" s="5">
        <v>1</v>
      </c>
      <c r="Y261" s="5">
        <v>7413.96</v>
      </c>
      <c r="Z261" s="5">
        <v>7413.96</v>
      </c>
      <c r="AA261" s="5">
        <v>1</v>
      </c>
      <c r="AB261" s="5">
        <v>270387.48</v>
      </c>
    </row>
    <row r="262" spans="1:28" ht="12.75">
      <c r="A262" s="5">
        <v>50</v>
      </c>
      <c r="B262" s="5">
        <v>0</v>
      </c>
      <c r="C262" s="5">
        <v>0</v>
      </c>
      <c r="D262" s="5">
        <v>1</v>
      </c>
      <c r="E262" s="5">
        <v>0</v>
      </c>
      <c r="F262" s="5">
        <f>ROUND(Source!AR234,O262)</f>
        <v>162412.41</v>
      </c>
      <c r="G262" s="5" t="s">
        <v>119</v>
      </c>
      <c r="H262" s="5" t="s">
        <v>120</v>
      </c>
      <c r="I262" s="5"/>
      <c r="J262" s="5"/>
      <c r="K262" s="5">
        <v>224</v>
      </c>
      <c r="L262" s="5">
        <v>27</v>
      </c>
      <c r="M262" s="5">
        <v>3</v>
      </c>
      <c r="N262" s="5" t="s">
        <v>3</v>
      </c>
      <c r="O262" s="5">
        <v>2</v>
      </c>
      <c r="P262" s="5">
        <f>ROUND(Source!EJ234,O262)</f>
        <v>162412.41</v>
      </c>
      <c r="Q262" s="5"/>
      <c r="R262" s="5"/>
      <c r="S262" s="5"/>
      <c r="T262" s="5"/>
      <c r="U262" s="5"/>
      <c r="V262" s="5"/>
      <c r="W262" s="5">
        <v>162412.40999999997</v>
      </c>
      <c r="X262" s="5">
        <v>1</v>
      </c>
      <c r="Y262" s="5">
        <v>162412.40999999997</v>
      </c>
      <c r="Z262" s="5">
        <v>162412.40999999997</v>
      </c>
      <c r="AA262" s="5">
        <v>1</v>
      </c>
      <c r="AB262" s="5">
        <v>1916033.46</v>
      </c>
    </row>
    <row r="263" spans="1:28" ht="12.75">
      <c r="A263" s="5">
        <v>50</v>
      </c>
      <c r="B263" s="5">
        <v>1</v>
      </c>
      <c r="C263" s="5">
        <v>0</v>
      </c>
      <c r="D263" s="5">
        <v>2</v>
      </c>
      <c r="E263" s="5">
        <v>0</v>
      </c>
      <c r="F263" s="5">
        <f>ROUND(F240,O263)</f>
        <v>132624.83</v>
      </c>
      <c r="G263" s="5" t="s">
        <v>276</v>
      </c>
      <c r="H263" s="5" t="s">
        <v>276</v>
      </c>
      <c r="I263" s="5"/>
      <c r="J263" s="5"/>
      <c r="K263" s="5">
        <v>212</v>
      </c>
      <c r="L263" s="5">
        <v>28</v>
      </c>
      <c r="M263" s="5">
        <v>0</v>
      </c>
      <c r="N263" s="5" t="s">
        <v>3</v>
      </c>
      <c r="O263" s="5">
        <v>2</v>
      </c>
      <c r="P263" s="5">
        <f>ROUND(P240,O263)</f>
        <v>132624.83</v>
      </c>
      <c r="Q263" s="5"/>
      <c r="R263" s="5"/>
      <c r="S263" s="5"/>
      <c r="T263" s="5"/>
      <c r="U263" s="5"/>
      <c r="V263" s="5"/>
      <c r="W263" s="5">
        <v>132624.83</v>
      </c>
      <c r="X263" s="5">
        <v>1</v>
      </c>
      <c r="Y263" s="5">
        <v>132624.83</v>
      </c>
      <c r="Z263" s="5">
        <v>132624.83</v>
      </c>
      <c r="AA263" s="5">
        <v>1</v>
      </c>
      <c r="AB263" s="5">
        <v>904501.34</v>
      </c>
    </row>
    <row r="264" spans="1:28" ht="12.75">
      <c r="A264" s="5">
        <v>50</v>
      </c>
      <c r="B264" s="5">
        <v>1</v>
      </c>
      <c r="C264" s="5">
        <v>0</v>
      </c>
      <c r="D264" s="5">
        <v>2</v>
      </c>
      <c r="E264" s="5">
        <v>0</v>
      </c>
      <c r="F264" s="5">
        <f>ROUND(F262,O264)</f>
        <v>162412.41</v>
      </c>
      <c r="G264" s="5" t="s">
        <v>281</v>
      </c>
      <c r="H264" s="5" t="s">
        <v>119</v>
      </c>
      <c r="I264" s="5"/>
      <c r="J264" s="5"/>
      <c r="K264" s="5">
        <v>212</v>
      </c>
      <c r="L264" s="5">
        <v>29</v>
      </c>
      <c r="M264" s="5">
        <v>0</v>
      </c>
      <c r="N264" s="5" t="s">
        <v>3</v>
      </c>
      <c r="O264" s="5">
        <v>2</v>
      </c>
      <c r="P264" s="5">
        <f>ROUND(P262,O264)</f>
        <v>162412.41</v>
      </c>
      <c r="Q264" s="5"/>
      <c r="R264" s="5"/>
      <c r="S264" s="5"/>
      <c r="T264" s="5"/>
      <c r="U264" s="5"/>
      <c r="V264" s="5"/>
      <c r="W264" s="5">
        <v>162412.41</v>
      </c>
      <c r="X264" s="5">
        <v>1</v>
      </c>
      <c r="Y264" s="5">
        <v>162412.41</v>
      </c>
      <c r="Z264" s="5">
        <v>162412.41</v>
      </c>
      <c r="AA264" s="5">
        <v>1</v>
      </c>
      <c r="AB264" s="5">
        <v>1916033.46</v>
      </c>
    </row>
    <row r="265" spans="1:28" ht="12.75">
      <c r="A265" s="5">
        <v>50</v>
      </c>
      <c r="B265" s="5">
        <v>1</v>
      </c>
      <c r="C265" s="5">
        <v>0</v>
      </c>
      <c r="D265" s="5">
        <v>2</v>
      </c>
      <c r="E265" s="5">
        <v>0</v>
      </c>
      <c r="F265" s="5">
        <f>ROUND(F264*0.2,O265)</f>
        <v>32482.48</v>
      </c>
      <c r="G265" s="5" t="s">
        <v>282</v>
      </c>
      <c r="H265" s="5" t="s">
        <v>278</v>
      </c>
      <c r="I265" s="5"/>
      <c r="J265" s="5"/>
      <c r="K265" s="5">
        <v>212</v>
      </c>
      <c r="L265" s="5">
        <v>32</v>
      </c>
      <c r="M265" s="5">
        <v>0</v>
      </c>
      <c r="N265" s="5" t="s">
        <v>3</v>
      </c>
      <c r="O265" s="5">
        <v>2</v>
      </c>
      <c r="P265" s="5">
        <f>ROUND(P264*0.2,O265)</f>
        <v>32482.48</v>
      </c>
      <c r="Q265" s="5"/>
      <c r="R265" s="5"/>
      <c r="S265" s="5"/>
      <c r="T265" s="5"/>
      <c r="U265" s="5"/>
      <c r="V265" s="5"/>
      <c r="W265" s="5">
        <v>32482.48</v>
      </c>
      <c r="X265" s="5">
        <v>1</v>
      </c>
      <c r="Y265" s="5">
        <v>32482.48</v>
      </c>
      <c r="Z265" s="5">
        <v>32482.48</v>
      </c>
      <c r="AA265" s="5">
        <v>1</v>
      </c>
      <c r="AB265" s="5">
        <v>383206.69</v>
      </c>
    </row>
    <row r="266" spans="1:28" ht="12.75">
      <c r="A266" s="5">
        <v>50</v>
      </c>
      <c r="B266" s="5">
        <v>1</v>
      </c>
      <c r="C266" s="5">
        <v>0</v>
      </c>
      <c r="D266" s="5">
        <v>2</v>
      </c>
      <c r="E266" s="5">
        <v>224</v>
      </c>
      <c r="F266" s="5">
        <f>ROUND(F264+F265,O266)</f>
        <v>194894.89</v>
      </c>
      <c r="G266" s="5" t="s">
        <v>283</v>
      </c>
      <c r="H266" s="5" t="s">
        <v>279</v>
      </c>
      <c r="I266" s="5"/>
      <c r="J266" s="5"/>
      <c r="K266" s="5">
        <v>212</v>
      </c>
      <c r="L266" s="5">
        <v>33</v>
      </c>
      <c r="M266" s="5">
        <v>0</v>
      </c>
      <c r="N266" s="5" t="s">
        <v>3</v>
      </c>
      <c r="O266" s="5">
        <v>2</v>
      </c>
      <c r="P266" s="5">
        <f>ROUND(P264+P265,O266)</f>
        <v>194894.89</v>
      </c>
      <c r="Q266" s="5"/>
      <c r="R266" s="5"/>
      <c r="S266" s="5"/>
      <c r="T266" s="5"/>
      <c r="U266" s="5"/>
      <c r="V266" s="5"/>
      <c r="W266" s="5">
        <v>194894.89</v>
      </c>
      <c r="X266" s="5">
        <v>1</v>
      </c>
      <c r="Y266" s="5">
        <v>194894.89</v>
      </c>
      <c r="Z266" s="5">
        <v>194894.89</v>
      </c>
      <c r="AA266" s="5">
        <v>1</v>
      </c>
      <c r="AB266" s="5">
        <v>2299240.15</v>
      </c>
    </row>
    <row r="268" spans="1:8" ht="12.75">
      <c r="A268" s="6">
        <v>61</v>
      </c>
      <c r="B268" s="6"/>
      <c r="C268" s="6"/>
      <c r="D268" s="6"/>
      <c r="E268" s="6"/>
      <c r="F268" s="6">
        <v>3</v>
      </c>
      <c r="G268" s="6" t="s">
        <v>284</v>
      </c>
      <c r="H268" s="6" t="s">
        <v>285</v>
      </c>
    </row>
    <row r="269" spans="1:8" ht="12.75">
      <c r="A269" s="6">
        <v>61</v>
      </c>
      <c r="B269" s="6"/>
      <c r="C269" s="6"/>
      <c r="D269" s="6"/>
      <c r="E269" s="6"/>
      <c r="F269" s="6">
        <v>2</v>
      </c>
      <c r="G269" s="6" t="s">
        <v>286</v>
      </c>
      <c r="H269" s="6" t="s">
        <v>285</v>
      </c>
    </row>
    <row r="270" spans="1:8" ht="12.75">
      <c r="A270" s="6">
        <v>61</v>
      </c>
      <c r="B270" s="6"/>
      <c r="C270" s="6"/>
      <c r="D270" s="6"/>
      <c r="E270" s="6"/>
      <c r="F270" s="6">
        <v>1</v>
      </c>
      <c r="G270" s="6" t="s">
        <v>287</v>
      </c>
      <c r="H270" s="6" t="s">
        <v>285</v>
      </c>
    </row>
    <row r="273" spans="1:16" ht="12.75">
      <c r="A273">
        <v>70</v>
      </c>
      <c r="B273">
        <v>1</v>
      </c>
      <c r="D273">
        <v>1</v>
      </c>
      <c r="E273" t="s">
        <v>288</v>
      </c>
      <c r="F273" t="s">
        <v>289</v>
      </c>
      <c r="G273">
        <v>0</v>
      </c>
      <c r="H273">
        <v>0</v>
      </c>
      <c r="J273">
        <v>1</v>
      </c>
      <c r="K273">
        <v>0</v>
      </c>
      <c r="N273">
        <v>0</v>
      </c>
      <c r="O273">
        <v>0</v>
      </c>
      <c r="P273" t="s">
        <v>290</v>
      </c>
    </row>
    <row r="274" spans="1:16" ht="12.75">
      <c r="A274">
        <v>70</v>
      </c>
      <c r="B274">
        <v>1</v>
      </c>
      <c r="D274">
        <v>2</v>
      </c>
      <c r="E274" t="s">
        <v>291</v>
      </c>
      <c r="F274" t="s">
        <v>292</v>
      </c>
      <c r="G274">
        <v>1</v>
      </c>
      <c r="H274">
        <v>0</v>
      </c>
      <c r="J274">
        <v>1</v>
      </c>
      <c r="K274">
        <v>0</v>
      </c>
      <c r="N274">
        <v>0</v>
      </c>
      <c r="O274">
        <v>1</v>
      </c>
      <c r="P274" t="s">
        <v>293</v>
      </c>
    </row>
    <row r="275" spans="1:16" ht="12.75">
      <c r="A275">
        <v>70</v>
      </c>
      <c r="B275">
        <v>1</v>
      </c>
      <c r="D275">
        <v>3</v>
      </c>
      <c r="E275" t="s">
        <v>294</v>
      </c>
      <c r="F275" t="s">
        <v>295</v>
      </c>
      <c r="G275">
        <v>0</v>
      </c>
      <c r="H275">
        <v>0</v>
      </c>
      <c r="J275">
        <v>1</v>
      </c>
      <c r="K275">
        <v>0</v>
      </c>
      <c r="N275">
        <v>0</v>
      </c>
      <c r="O275">
        <v>0</v>
      </c>
      <c r="P275" t="s">
        <v>296</v>
      </c>
    </row>
    <row r="276" spans="1:16" ht="12.75">
      <c r="A276">
        <v>70</v>
      </c>
      <c r="B276">
        <v>1</v>
      </c>
      <c r="D276">
        <v>4</v>
      </c>
      <c r="E276" t="s">
        <v>297</v>
      </c>
      <c r="F276" t="s">
        <v>298</v>
      </c>
      <c r="G276">
        <v>1</v>
      </c>
      <c r="H276">
        <v>0</v>
      </c>
      <c r="J276">
        <v>2</v>
      </c>
      <c r="K276">
        <v>0</v>
      </c>
      <c r="N276">
        <v>0</v>
      </c>
      <c r="O276">
        <v>1</v>
      </c>
    </row>
    <row r="277" spans="1:16" ht="12.75">
      <c r="A277">
        <v>70</v>
      </c>
      <c r="B277">
        <v>1</v>
      </c>
      <c r="D277">
        <v>5</v>
      </c>
      <c r="E277" t="s">
        <v>299</v>
      </c>
      <c r="F277" t="s">
        <v>300</v>
      </c>
      <c r="G277">
        <v>0</v>
      </c>
      <c r="H277">
        <v>0</v>
      </c>
      <c r="J277">
        <v>2</v>
      </c>
      <c r="K277">
        <v>0</v>
      </c>
      <c r="N277">
        <v>0</v>
      </c>
      <c r="O277">
        <v>0</v>
      </c>
    </row>
    <row r="278" spans="1:16" ht="12.75">
      <c r="A278">
        <v>70</v>
      </c>
      <c r="B278">
        <v>1</v>
      </c>
      <c r="D278">
        <v>6</v>
      </c>
      <c r="E278" t="s">
        <v>301</v>
      </c>
      <c r="F278" t="s">
        <v>302</v>
      </c>
      <c r="G278">
        <v>0</v>
      </c>
      <c r="H278">
        <v>0</v>
      </c>
      <c r="J278">
        <v>2</v>
      </c>
      <c r="K278">
        <v>0</v>
      </c>
      <c r="N278">
        <v>0</v>
      </c>
      <c r="O278">
        <v>0</v>
      </c>
    </row>
    <row r="279" spans="1:16" ht="12.75">
      <c r="A279">
        <v>70</v>
      </c>
      <c r="B279">
        <v>1</v>
      </c>
      <c r="D279">
        <v>7</v>
      </c>
      <c r="E279" t="s">
        <v>303</v>
      </c>
      <c r="F279" t="s">
        <v>304</v>
      </c>
      <c r="G279">
        <v>0</v>
      </c>
      <c r="H279">
        <v>0</v>
      </c>
      <c r="I279" t="s">
        <v>305</v>
      </c>
      <c r="J279">
        <v>0</v>
      </c>
      <c r="K279">
        <v>0</v>
      </c>
      <c r="N279">
        <v>0</v>
      </c>
      <c r="O279">
        <v>0</v>
      </c>
      <c r="P279" t="s">
        <v>306</v>
      </c>
    </row>
    <row r="280" spans="1:16" ht="12.75">
      <c r="A280">
        <v>70</v>
      </c>
      <c r="B280">
        <v>1</v>
      </c>
      <c r="D280">
        <v>8</v>
      </c>
      <c r="E280" t="s">
        <v>307</v>
      </c>
      <c r="F280" t="s">
        <v>308</v>
      </c>
      <c r="G280">
        <v>1</v>
      </c>
      <c r="H280">
        <v>0</v>
      </c>
      <c r="J280">
        <v>5</v>
      </c>
      <c r="K280">
        <v>0</v>
      </c>
      <c r="N280">
        <v>0</v>
      </c>
      <c r="O280">
        <v>1</v>
      </c>
    </row>
    <row r="281" spans="1:16" ht="12.75">
      <c r="A281">
        <v>70</v>
      </c>
      <c r="B281">
        <v>1</v>
      </c>
      <c r="D281">
        <v>9</v>
      </c>
      <c r="E281" t="s">
        <v>309</v>
      </c>
      <c r="F281" t="s">
        <v>310</v>
      </c>
      <c r="G281">
        <v>0</v>
      </c>
      <c r="H281">
        <v>0</v>
      </c>
      <c r="J281">
        <v>5</v>
      </c>
      <c r="K281">
        <v>0</v>
      </c>
      <c r="N281">
        <v>0</v>
      </c>
      <c r="O281">
        <v>0</v>
      </c>
    </row>
    <row r="282" spans="1:16" ht="12.75">
      <c r="A282">
        <v>70</v>
      </c>
      <c r="B282">
        <v>1</v>
      </c>
      <c r="D282">
        <v>10</v>
      </c>
      <c r="E282" t="s">
        <v>311</v>
      </c>
      <c r="F282" t="s">
        <v>312</v>
      </c>
      <c r="G282">
        <v>0</v>
      </c>
      <c r="H282">
        <v>0</v>
      </c>
      <c r="I282" t="s">
        <v>313</v>
      </c>
      <c r="J282">
        <v>5</v>
      </c>
      <c r="K282">
        <v>0</v>
      </c>
      <c r="N282">
        <v>0</v>
      </c>
      <c r="O282">
        <v>0</v>
      </c>
      <c r="P282" t="s">
        <v>314</v>
      </c>
    </row>
    <row r="283" spans="1:16" ht="12.75">
      <c r="A283">
        <v>70</v>
      </c>
      <c r="B283">
        <v>1</v>
      </c>
      <c r="D283">
        <v>11</v>
      </c>
      <c r="E283" t="s">
        <v>315</v>
      </c>
      <c r="F283" t="s">
        <v>316</v>
      </c>
      <c r="G283">
        <v>0</v>
      </c>
      <c r="H283">
        <v>0</v>
      </c>
      <c r="I283" t="s">
        <v>317</v>
      </c>
      <c r="J283">
        <v>0</v>
      </c>
      <c r="K283">
        <v>0</v>
      </c>
      <c r="N283">
        <v>0</v>
      </c>
      <c r="O283">
        <v>0</v>
      </c>
      <c r="P283" t="s">
        <v>318</v>
      </c>
    </row>
    <row r="284" spans="1:16" ht="12.75">
      <c r="A284">
        <v>70</v>
      </c>
      <c r="B284">
        <v>1</v>
      </c>
      <c r="D284">
        <v>12</v>
      </c>
      <c r="E284" t="s">
        <v>319</v>
      </c>
      <c r="F284" t="s">
        <v>320</v>
      </c>
      <c r="G284">
        <v>0</v>
      </c>
      <c r="H284">
        <v>0</v>
      </c>
      <c r="I284" t="s">
        <v>321</v>
      </c>
      <c r="J284">
        <v>0</v>
      </c>
      <c r="K284">
        <v>0</v>
      </c>
      <c r="N284">
        <v>0</v>
      </c>
      <c r="O284">
        <v>0</v>
      </c>
      <c r="P284" t="s">
        <v>322</v>
      </c>
    </row>
    <row r="285" spans="1:16" ht="12.75">
      <c r="A285">
        <v>70</v>
      </c>
      <c r="B285">
        <v>1</v>
      </c>
      <c r="D285">
        <v>13</v>
      </c>
      <c r="E285" t="s">
        <v>323</v>
      </c>
      <c r="F285" t="s">
        <v>324</v>
      </c>
      <c r="G285">
        <v>0</v>
      </c>
      <c r="H285">
        <v>0</v>
      </c>
      <c r="I285" t="s">
        <v>325</v>
      </c>
      <c r="J285">
        <v>0</v>
      </c>
      <c r="K285">
        <v>0</v>
      </c>
      <c r="N285">
        <v>0</v>
      </c>
      <c r="O285">
        <v>0</v>
      </c>
      <c r="P285" t="s">
        <v>326</v>
      </c>
    </row>
    <row r="286" spans="1:16" ht="12.75">
      <c r="A286">
        <v>70</v>
      </c>
      <c r="B286">
        <v>1</v>
      </c>
      <c r="D286">
        <v>14</v>
      </c>
      <c r="E286" t="s">
        <v>327</v>
      </c>
      <c r="F286" t="s">
        <v>328</v>
      </c>
      <c r="G286">
        <v>0</v>
      </c>
      <c r="H286">
        <v>0</v>
      </c>
      <c r="J286">
        <v>0</v>
      </c>
      <c r="K286">
        <v>0</v>
      </c>
      <c r="N286">
        <v>0</v>
      </c>
      <c r="O286">
        <v>0</v>
      </c>
      <c r="P286" t="s">
        <v>329</v>
      </c>
    </row>
    <row r="287" spans="1:16" ht="12.75">
      <c r="A287">
        <v>70</v>
      </c>
      <c r="B287">
        <v>1</v>
      </c>
      <c r="D287">
        <v>15</v>
      </c>
      <c r="E287" t="s">
        <v>330</v>
      </c>
      <c r="F287" t="s">
        <v>331</v>
      </c>
      <c r="G287">
        <v>0</v>
      </c>
      <c r="H287">
        <v>0</v>
      </c>
      <c r="J287">
        <v>3</v>
      </c>
      <c r="K287">
        <v>0</v>
      </c>
      <c r="N287">
        <v>0</v>
      </c>
      <c r="O287">
        <v>0</v>
      </c>
    </row>
    <row r="288" spans="1:16" ht="12.75">
      <c r="A288">
        <v>70</v>
      </c>
      <c r="B288">
        <v>1</v>
      </c>
      <c r="D288">
        <v>16</v>
      </c>
      <c r="E288" t="s">
        <v>332</v>
      </c>
      <c r="F288" t="s">
        <v>333</v>
      </c>
      <c r="G288">
        <v>1</v>
      </c>
      <c r="H288">
        <v>0</v>
      </c>
      <c r="J288">
        <v>3</v>
      </c>
      <c r="K288">
        <v>0</v>
      </c>
      <c r="N288">
        <v>0</v>
      </c>
      <c r="O288">
        <v>1</v>
      </c>
    </row>
    <row r="289" spans="1:16" ht="12.75">
      <c r="A289">
        <v>70</v>
      </c>
      <c r="B289">
        <v>1</v>
      </c>
      <c r="D289">
        <v>1</v>
      </c>
      <c r="E289" t="s">
        <v>334</v>
      </c>
      <c r="F289" t="s">
        <v>335</v>
      </c>
      <c r="G289">
        <v>0.9</v>
      </c>
      <c r="H289">
        <v>1</v>
      </c>
      <c r="I289" t="s">
        <v>336</v>
      </c>
      <c r="J289">
        <v>0</v>
      </c>
      <c r="K289">
        <v>0</v>
      </c>
      <c r="N289">
        <v>0</v>
      </c>
      <c r="O289">
        <v>0.9</v>
      </c>
      <c r="P289" t="s">
        <v>337</v>
      </c>
    </row>
    <row r="290" spans="1:16" ht="12.75">
      <c r="A290">
        <v>70</v>
      </c>
      <c r="B290">
        <v>1</v>
      </c>
      <c r="D290">
        <v>2</v>
      </c>
      <c r="E290" t="s">
        <v>338</v>
      </c>
      <c r="F290" t="s">
        <v>339</v>
      </c>
      <c r="G290">
        <v>0.85</v>
      </c>
      <c r="H290">
        <v>1</v>
      </c>
      <c r="I290" t="s">
        <v>340</v>
      </c>
      <c r="J290">
        <v>0</v>
      </c>
      <c r="K290">
        <v>0</v>
      </c>
      <c r="N290">
        <v>0</v>
      </c>
      <c r="O290">
        <v>0.85</v>
      </c>
      <c r="P290" t="s">
        <v>341</v>
      </c>
    </row>
    <row r="291" spans="1:16" ht="12.75">
      <c r="A291">
        <v>70</v>
      </c>
      <c r="B291">
        <v>1</v>
      </c>
      <c r="D291">
        <v>3</v>
      </c>
      <c r="E291" t="s">
        <v>342</v>
      </c>
      <c r="F291" t="s">
        <v>343</v>
      </c>
      <c r="G291">
        <v>1.03</v>
      </c>
      <c r="H291">
        <v>0</v>
      </c>
      <c r="J291">
        <v>0</v>
      </c>
      <c r="K291">
        <v>0</v>
      </c>
      <c r="N291">
        <v>0</v>
      </c>
      <c r="O291">
        <v>1.03</v>
      </c>
      <c r="P291" t="s">
        <v>344</v>
      </c>
    </row>
    <row r="292" spans="1:16" ht="12.75">
      <c r="A292">
        <v>70</v>
      </c>
      <c r="B292">
        <v>1</v>
      </c>
      <c r="D292">
        <v>4</v>
      </c>
      <c r="E292" t="s">
        <v>345</v>
      </c>
      <c r="F292" t="s">
        <v>346</v>
      </c>
      <c r="G292">
        <v>1.15</v>
      </c>
      <c r="H292">
        <v>0</v>
      </c>
      <c r="J292">
        <v>0</v>
      </c>
      <c r="K292">
        <v>0</v>
      </c>
      <c r="N292">
        <v>0</v>
      </c>
      <c r="O292">
        <v>1.15</v>
      </c>
      <c r="P292" t="s">
        <v>347</v>
      </c>
    </row>
    <row r="293" spans="1:16" ht="12.75">
      <c r="A293">
        <v>70</v>
      </c>
      <c r="B293">
        <v>1</v>
      </c>
      <c r="D293">
        <v>5</v>
      </c>
      <c r="E293" t="s">
        <v>348</v>
      </c>
      <c r="F293" t="s">
        <v>349</v>
      </c>
      <c r="G293">
        <v>7</v>
      </c>
      <c r="H293">
        <v>0</v>
      </c>
      <c r="J293">
        <v>0</v>
      </c>
      <c r="K293">
        <v>0</v>
      </c>
      <c r="N293">
        <v>0</v>
      </c>
      <c r="O293">
        <v>7</v>
      </c>
    </row>
    <row r="294" spans="1:16" ht="12.75">
      <c r="A294">
        <v>70</v>
      </c>
      <c r="B294">
        <v>1</v>
      </c>
      <c r="D294">
        <v>6</v>
      </c>
      <c r="E294" t="s">
        <v>350</v>
      </c>
      <c r="G294">
        <v>2</v>
      </c>
      <c r="H294">
        <v>0</v>
      </c>
      <c r="J294">
        <v>0</v>
      </c>
      <c r="K294">
        <v>0</v>
      </c>
      <c r="N294">
        <v>0</v>
      </c>
      <c r="O294">
        <v>2</v>
      </c>
    </row>
    <row r="296" ht="12.75">
      <c r="A296">
        <v>-1</v>
      </c>
    </row>
    <row r="298" spans="1:15" ht="12.75">
      <c r="A298" s="4">
        <v>75</v>
      </c>
      <c r="B298" s="4" t="s">
        <v>351</v>
      </c>
      <c r="C298" s="4">
        <v>2000</v>
      </c>
      <c r="D298" s="4">
        <v>0</v>
      </c>
      <c r="E298" s="4">
        <v>1</v>
      </c>
      <c r="F298" s="4"/>
      <c r="G298" s="4">
        <v>0</v>
      </c>
      <c r="H298" s="4">
        <v>1</v>
      </c>
      <c r="I298" s="4">
        <v>0</v>
      </c>
      <c r="J298" s="4">
        <v>3</v>
      </c>
      <c r="K298" s="4">
        <v>0</v>
      </c>
      <c r="L298" s="4">
        <v>0</v>
      </c>
      <c r="M298" s="4">
        <v>0</v>
      </c>
      <c r="N298" s="4">
        <v>55463411</v>
      </c>
      <c r="O298" s="4">
        <v>1</v>
      </c>
    </row>
    <row r="299" spans="1:15" ht="12.75">
      <c r="A299" s="4">
        <v>75</v>
      </c>
      <c r="B299" s="4" t="s">
        <v>352</v>
      </c>
      <c r="C299" s="4">
        <v>2023</v>
      </c>
      <c r="D299" s="4">
        <v>1</v>
      </c>
      <c r="E299" s="4">
        <v>0</v>
      </c>
      <c r="F299" s="4"/>
      <c r="G299" s="4">
        <v>0</v>
      </c>
      <c r="H299" s="4">
        <v>1</v>
      </c>
      <c r="I299" s="4">
        <v>0</v>
      </c>
      <c r="J299" s="4">
        <v>1</v>
      </c>
      <c r="K299" s="4">
        <v>0</v>
      </c>
      <c r="L299" s="4">
        <v>0</v>
      </c>
      <c r="M299" s="4">
        <v>1</v>
      </c>
      <c r="N299" s="4">
        <v>55463412</v>
      </c>
      <c r="O299" s="4">
        <v>2</v>
      </c>
    </row>
    <row r="300" spans="1:40" ht="12.75">
      <c r="A300" s="7">
        <v>3</v>
      </c>
      <c r="B300" s="7" t="s">
        <v>353</v>
      </c>
      <c r="C300" s="7">
        <v>1</v>
      </c>
      <c r="D300" s="7">
        <v>6.82</v>
      </c>
      <c r="E300" s="7">
        <v>12.97</v>
      </c>
      <c r="F300" s="7">
        <v>36.47</v>
      </c>
      <c r="G300" s="7">
        <v>36.47</v>
      </c>
      <c r="H300" s="7">
        <v>1</v>
      </c>
      <c r="I300" s="7">
        <v>1</v>
      </c>
      <c r="J300" s="7">
        <v>2</v>
      </c>
      <c r="K300" s="7">
        <v>1</v>
      </c>
      <c r="L300" s="7">
        <v>12.97</v>
      </c>
      <c r="M300" s="7">
        <v>1</v>
      </c>
      <c r="N300" s="7">
        <v>6.82</v>
      </c>
      <c r="O300" s="7">
        <v>1</v>
      </c>
      <c r="P300" s="7">
        <v>1</v>
      </c>
      <c r="Q300" s="7">
        <v>1</v>
      </c>
      <c r="R300" s="7">
        <v>12.97</v>
      </c>
      <c r="S300" s="7" t="s">
        <v>32</v>
      </c>
      <c r="T300" s="7" t="s">
        <v>3</v>
      </c>
      <c r="U300" s="7" t="s">
        <v>3</v>
      </c>
      <c r="V300" s="7" t="s">
        <v>3</v>
      </c>
      <c r="W300" s="7" t="s">
        <v>3</v>
      </c>
      <c r="X300" s="7" t="s">
        <v>3</v>
      </c>
      <c r="Y300" s="7" t="s">
        <v>3</v>
      </c>
      <c r="Z300" s="7" t="s">
        <v>3</v>
      </c>
      <c r="AA300" s="7" t="s">
        <v>3</v>
      </c>
      <c r="AB300" s="7" t="s">
        <v>3</v>
      </c>
      <c r="AC300" s="7" t="s">
        <v>3</v>
      </c>
      <c r="AD300" s="7" t="s">
        <v>3</v>
      </c>
      <c r="AE300" s="7" t="s">
        <v>3</v>
      </c>
      <c r="AF300" s="7" t="s">
        <v>3</v>
      </c>
      <c r="AG300" s="7" t="s">
        <v>3</v>
      </c>
      <c r="AH300" s="7" t="s">
        <v>3</v>
      </c>
      <c r="AI300" s="7"/>
      <c r="AJ300" s="7"/>
      <c r="AK300" s="7"/>
      <c r="AL300" s="7"/>
      <c r="AM300" s="7"/>
      <c r="AN300" s="7">
        <v>55463413</v>
      </c>
    </row>
    <row r="304" spans="1:5" ht="12.75">
      <c r="A304">
        <v>65</v>
      </c>
      <c r="C304">
        <v>1</v>
      </c>
      <c r="D304">
        <v>0</v>
      </c>
      <c r="E304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354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479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55463411</v>
      </c>
      <c r="E14" s="1">
        <v>55463412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v>162.41</v>
      </c>
      <c r="F16" s="9">
        <v>0</v>
      </c>
      <c r="G16" s="9">
        <v>0</v>
      </c>
      <c r="H16" s="9">
        <v>0</v>
      </c>
      <c r="I16" s="9">
        <v>162.41</v>
      </c>
      <c r="J16" s="9">
        <v>9.1</v>
      </c>
      <c r="T16" s="10">
        <v>1916.03</v>
      </c>
      <c r="U16" s="10">
        <v>0</v>
      </c>
      <c r="V16" s="10">
        <v>0</v>
      </c>
      <c r="W16" s="10">
        <v>0</v>
      </c>
      <c r="X16" s="10">
        <v>1916.03</v>
      </c>
      <c r="Y16" s="10">
        <v>332.1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144593.47999999998</v>
      </c>
      <c r="AU16" s="9">
        <v>132624.83</v>
      </c>
      <c r="AV16" s="9">
        <v>0</v>
      </c>
      <c r="AW16" s="9">
        <v>0</v>
      </c>
      <c r="AX16" s="9">
        <v>0</v>
      </c>
      <c r="AY16" s="9">
        <v>1945.14</v>
      </c>
      <c r="AZ16" s="9">
        <v>321.25000000000006</v>
      </c>
      <c r="BA16" s="9">
        <v>8784.78</v>
      </c>
      <c r="BB16" s="9">
        <v>162412.41</v>
      </c>
      <c r="BC16" s="9">
        <v>0</v>
      </c>
      <c r="BD16" s="9">
        <v>0</v>
      </c>
      <c r="BE16" s="9">
        <v>0</v>
      </c>
      <c r="BF16" s="9">
        <v>970.8064895</v>
      </c>
      <c r="BG16" s="9">
        <v>28.759895</v>
      </c>
      <c r="BH16" s="9">
        <v>0</v>
      </c>
      <c r="BI16" s="9">
        <v>10404.97</v>
      </c>
      <c r="BJ16" s="9">
        <v>7413.96</v>
      </c>
      <c r="BK16" s="9">
        <v>194894.89</v>
      </c>
      <c r="BR16" s="10">
        <v>1266177.06</v>
      </c>
      <c r="BS16" s="10">
        <v>0</v>
      </c>
      <c r="BT16" s="10">
        <v>0</v>
      </c>
      <c r="BU16" s="10">
        <v>0</v>
      </c>
      <c r="BV16" s="10">
        <v>0</v>
      </c>
      <c r="BW16" s="10">
        <v>25228.47</v>
      </c>
      <c r="BX16" s="10">
        <v>11716</v>
      </c>
      <c r="BY16" s="10">
        <v>320380.92</v>
      </c>
      <c r="BZ16" s="10">
        <v>1916033.46</v>
      </c>
      <c r="CA16" s="10">
        <v>0</v>
      </c>
      <c r="CB16" s="10">
        <v>0</v>
      </c>
      <c r="CC16" s="10">
        <v>0</v>
      </c>
      <c r="CD16" s="10">
        <v>970.8064895</v>
      </c>
      <c r="CE16" s="10">
        <v>28.759895</v>
      </c>
      <c r="CF16" s="10">
        <v>0</v>
      </c>
      <c r="CG16" s="10">
        <v>379468.92000000004</v>
      </c>
      <c r="CH16" s="10">
        <v>270387.48</v>
      </c>
      <c r="CI16" s="10">
        <v>2299240.15</v>
      </c>
    </row>
    <row r="18" spans="1:40" ht="12.75">
      <c r="A18">
        <v>51</v>
      </c>
      <c r="E18" s="6">
        <f>SUMIF(A16:A17,3,E16:E17)</f>
        <v>162.41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162.41</v>
      </c>
      <c r="J18" s="6">
        <f>SUMIF(A16:A17,3,J16:J17)</f>
        <v>9.1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1916.03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1916.03</v>
      </c>
      <c r="Y18" s="3">
        <f>SUMIF(A16:A17,3,Y16:Y17)</f>
        <v>332.1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144593.47999999998</v>
      </c>
      <c r="G20" s="5" t="s">
        <v>67</v>
      </c>
      <c r="H20" s="5" t="s">
        <v>68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1266177.06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132624.83</v>
      </c>
      <c r="G21" s="5" t="s">
        <v>69</v>
      </c>
      <c r="H21" s="5" t="s">
        <v>70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0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71</v>
      </c>
      <c r="H22" s="5" t="s">
        <v>72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132624.83</v>
      </c>
      <c r="G23" s="5" t="s">
        <v>73</v>
      </c>
      <c r="H23" s="5" t="s">
        <v>74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0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132624.83</v>
      </c>
      <c r="G24" s="5" t="s">
        <v>75</v>
      </c>
      <c r="H24" s="5" t="s">
        <v>76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904501.34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77</v>
      </c>
      <c r="H25" s="5" t="s">
        <v>78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132624.83</v>
      </c>
      <c r="G26" s="5" t="s">
        <v>79</v>
      </c>
      <c r="H26" s="5" t="s">
        <v>80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904501.34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81</v>
      </c>
      <c r="H27" s="5" t="s">
        <v>82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83</v>
      </c>
      <c r="H28" s="5" t="s">
        <v>84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85</v>
      </c>
      <c r="H29" s="5" t="s">
        <v>86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1945.1399999999999</v>
      </c>
      <c r="G30" s="5" t="s">
        <v>87</v>
      </c>
      <c r="H30" s="5" t="s">
        <v>88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25228.47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89</v>
      </c>
      <c r="H31" s="5" t="s">
        <v>90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321.25</v>
      </c>
      <c r="G32" s="5" t="s">
        <v>91</v>
      </c>
      <c r="H32" s="5" t="s">
        <v>92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11716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8784.78</v>
      </c>
      <c r="G33" s="5" t="s">
        <v>93</v>
      </c>
      <c r="H33" s="5" t="s">
        <v>94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320380.92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95</v>
      </c>
      <c r="H34" s="5" t="s">
        <v>96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162412.41</v>
      </c>
      <c r="G35" s="5" t="s">
        <v>97</v>
      </c>
      <c r="H35" s="5" t="s">
        <v>98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1916033.46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99</v>
      </c>
      <c r="H36" s="5" t="s">
        <v>100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101</v>
      </c>
      <c r="H37" s="5" t="s">
        <v>102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103</v>
      </c>
      <c r="H38" s="5" t="s">
        <v>104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105</v>
      </c>
      <c r="H39" s="5" t="s">
        <v>106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970.8064895</v>
      </c>
      <c r="G40" s="5" t="s">
        <v>107</v>
      </c>
      <c r="H40" s="5" t="s">
        <v>108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970.8064895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28.759895</v>
      </c>
      <c r="G41" s="5" t="s">
        <v>109</v>
      </c>
      <c r="H41" s="5" t="s">
        <v>110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28.759895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111</v>
      </c>
      <c r="H42" s="5" t="s">
        <v>112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1238.73</v>
      </c>
      <c r="G43" s="5" t="s">
        <v>113</v>
      </c>
      <c r="H43" s="5" t="s">
        <v>114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16066.33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10404.97</v>
      </c>
      <c r="G44" s="5" t="s">
        <v>115</v>
      </c>
      <c r="H44" s="5" t="s">
        <v>116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379468.92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7413.96</v>
      </c>
      <c r="G45" s="5" t="s">
        <v>117</v>
      </c>
      <c r="H45" s="5" t="s">
        <v>118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270387.48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162412.40999999997</v>
      </c>
      <c r="G46" s="5" t="s">
        <v>119</v>
      </c>
      <c r="H46" s="5" t="s">
        <v>120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1916033.46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132624.83</v>
      </c>
      <c r="G47" s="5" t="s">
        <v>276</v>
      </c>
      <c r="H47" s="5" t="s">
        <v>276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904501.34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162412.41</v>
      </c>
      <c r="G48" s="5" t="s">
        <v>281</v>
      </c>
      <c r="H48" s="5" t="s">
        <v>119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1916033.46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32482.48</v>
      </c>
      <c r="G49" s="5" t="s">
        <v>282</v>
      </c>
      <c r="H49" s="5" t="s">
        <v>278</v>
      </c>
      <c r="I49" s="5"/>
      <c r="J49" s="5"/>
      <c r="K49" s="5">
        <v>212</v>
      </c>
      <c r="L49" s="5">
        <v>32</v>
      </c>
      <c r="M49" s="5">
        <v>0</v>
      </c>
      <c r="N49" s="5" t="s">
        <v>3</v>
      </c>
      <c r="O49" s="5">
        <v>2</v>
      </c>
      <c r="P49" s="5">
        <v>383206.69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224</v>
      </c>
      <c r="F50" s="5">
        <v>194894.89</v>
      </c>
      <c r="G50" s="5" t="s">
        <v>283</v>
      </c>
      <c r="H50" s="5" t="s">
        <v>279</v>
      </c>
      <c r="I50" s="5"/>
      <c r="J50" s="5"/>
      <c r="K50" s="5">
        <v>212</v>
      </c>
      <c r="L50" s="5">
        <v>33</v>
      </c>
      <c r="M50" s="5">
        <v>0</v>
      </c>
      <c r="N50" s="5" t="s">
        <v>3</v>
      </c>
      <c r="O50" s="5">
        <v>2</v>
      </c>
      <c r="P50" s="5">
        <v>2299240.15</v>
      </c>
    </row>
    <row r="52" ht="12.75">
      <c r="A52">
        <v>-1</v>
      </c>
    </row>
    <row r="55" spans="1:15" ht="12.75">
      <c r="A55" s="4">
        <v>75</v>
      </c>
      <c r="B55" s="4" t="s">
        <v>351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3</v>
      </c>
      <c r="K55" s="4">
        <v>0</v>
      </c>
      <c r="L55" s="4">
        <v>0</v>
      </c>
      <c r="M55" s="4">
        <v>0</v>
      </c>
      <c r="N55" s="4">
        <v>55463411</v>
      </c>
      <c r="O55" s="4">
        <v>1</v>
      </c>
    </row>
    <row r="56" spans="1:15" ht="12.75">
      <c r="A56" s="4">
        <v>75</v>
      </c>
      <c r="B56" s="4" t="s">
        <v>352</v>
      </c>
      <c r="C56" s="4">
        <v>2023</v>
      </c>
      <c r="D56" s="4">
        <v>1</v>
      </c>
      <c r="E56" s="4">
        <v>0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55463412</v>
      </c>
      <c r="O56" s="4">
        <v>2</v>
      </c>
    </row>
    <row r="57" spans="1:40" ht="12.75">
      <c r="A57" s="7">
        <v>3</v>
      </c>
      <c r="B57" s="7" t="s">
        <v>353</v>
      </c>
      <c r="C57" s="7">
        <v>1</v>
      </c>
      <c r="D57" s="7">
        <v>6.82</v>
      </c>
      <c r="E57" s="7">
        <v>12.97</v>
      </c>
      <c r="F57" s="7">
        <v>36.47</v>
      </c>
      <c r="G57" s="7">
        <v>36.47</v>
      </c>
      <c r="H57" s="7">
        <v>1</v>
      </c>
      <c r="I57" s="7">
        <v>1</v>
      </c>
      <c r="J57" s="7">
        <v>2</v>
      </c>
      <c r="K57" s="7">
        <v>1</v>
      </c>
      <c r="L57" s="7">
        <v>12.97</v>
      </c>
      <c r="M57" s="7">
        <v>1</v>
      </c>
      <c r="N57" s="7">
        <v>6.82</v>
      </c>
      <c r="O57" s="7">
        <v>1</v>
      </c>
      <c r="P57" s="7">
        <v>1</v>
      </c>
      <c r="Q57" s="7">
        <v>1</v>
      </c>
      <c r="R57" s="7">
        <v>12.97</v>
      </c>
      <c r="S57" s="7" t="s">
        <v>32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55463413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1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55463411</v>
      </c>
      <c r="C1">
        <v>55463648</v>
      </c>
      <c r="D1">
        <v>53630067</v>
      </c>
      <c r="E1">
        <v>70</v>
      </c>
      <c r="F1">
        <v>1</v>
      </c>
      <c r="G1">
        <v>1</v>
      </c>
      <c r="H1">
        <v>1</v>
      </c>
      <c r="I1" t="s">
        <v>355</v>
      </c>
      <c r="K1" t="s">
        <v>356</v>
      </c>
      <c r="L1">
        <v>1191</v>
      </c>
      <c r="N1">
        <v>1013</v>
      </c>
      <c r="O1" t="s">
        <v>357</v>
      </c>
      <c r="P1" t="s">
        <v>357</v>
      </c>
      <c r="Q1">
        <v>1</v>
      </c>
      <c r="W1">
        <v>0</v>
      </c>
      <c r="X1">
        <v>1049124552</v>
      </c>
      <c r="Y1">
        <v>69.87</v>
      </c>
      <c r="AA1">
        <v>0</v>
      </c>
      <c r="AB1">
        <v>0</v>
      </c>
      <c r="AC1">
        <v>0</v>
      </c>
      <c r="AD1">
        <v>8.53</v>
      </c>
      <c r="AE1">
        <v>0</v>
      </c>
      <c r="AF1">
        <v>0</v>
      </c>
      <c r="AG1">
        <v>0</v>
      </c>
      <c r="AH1">
        <v>8.53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69.87</v>
      </c>
      <c r="AV1">
        <v>1</v>
      </c>
      <c r="AW1">
        <v>2</v>
      </c>
      <c r="AX1">
        <v>55463653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15.371400000000001</v>
      </c>
      <c r="CY1">
        <f>AD1</f>
        <v>8.53</v>
      </c>
      <c r="CZ1">
        <f>AH1</f>
        <v>8.53</v>
      </c>
      <c r="DA1">
        <f>AL1</f>
        <v>1</v>
      </c>
      <c r="DB1">
        <f aca="true" t="shared" si="0" ref="DB1:DB20">ROUND(ROUND(AT1*CZ1,2),2)</f>
        <v>595.99</v>
      </c>
      <c r="DC1">
        <f aca="true" t="shared" si="1" ref="DC1:DC20">ROUND(ROUND(AT1*AG1,2),2)</f>
        <v>0</v>
      </c>
    </row>
    <row r="2" spans="1:107" ht="12.75">
      <c r="A2">
        <f>ROW(Source!A28)</f>
        <v>28</v>
      </c>
      <c r="B2">
        <v>55463411</v>
      </c>
      <c r="C2">
        <v>55463648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358</v>
      </c>
      <c r="K2" t="s">
        <v>359</v>
      </c>
      <c r="L2">
        <v>1191</v>
      </c>
      <c r="N2">
        <v>1013</v>
      </c>
      <c r="O2" t="s">
        <v>357</v>
      </c>
      <c r="P2" t="s">
        <v>357</v>
      </c>
      <c r="Q2">
        <v>1</v>
      </c>
      <c r="W2">
        <v>0</v>
      </c>
      <c r="X2">
        <v>-1417349443</v>
      </c>
      <c r="Y2">
        <v>1.44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1.44</v>
      </c>
      <c r="AV2">
        <v>2</v>
      </c>
      <c r="AW2">
        <v>2</v>
      </c>
      <c r="AX2">
        <v>55463654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0.31679999999999997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ht="12.75">
      <c r="A3">
        <f>ROW(Source!A28)</f>
        <v>28</v>
      </c>
      <c r="B3">
        <v>55463411</v>
      </c>
      <c r="C3">
        <v>55463648</v>
      </c>
      <c r="D3">
        <v>53792191</v>
      </c>
      <c r="E3">
        <v>1</v>
      </c>
      <c r="F3">
        <v>1</v>
      </c>
      <c r="G3">
        <v>1</v>
      </c>
      <c r="H3">
        <v>2</v>
      </c>
      <c r="I3" t="s">
        <v>360</v>
      </c>
      <c r="J3" t="s">
        <v>361</v>
      </c>
      <c r="K3" t="s">
        <v>362</v>
      </c>
      <c r="L3">
        <v>1367</v>
      </c>
      <c r="N3">
        <v>1011</v>
      </c>
      <c r="O3" t="s">
        <v>363</v>
      </c>
      <c r="P3" t="s">
        <v>363</v>
      </c>
      <c r="Q3">
        <v>1</v>
      </c>
      <c r="W3">
        <v>0</v>
      </c>
      <c r="X3">
        <v>1232162608</v>
      </c>
      <c r="Y3">
        <v>1.44</v>
      </c>
      <c r="AA3">
        <v>0</v>
      </c>
      <c r="AB3">
        <v>31.26</v>
      </c>
      <c r="AC3">
        <v>13.5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1.44</v>
      </c>
      <c r="AV3">
        <v>0</v>
      </c>
      <c r="AW3">
        <v>2</v>
      </c>
      <c r="AX3">
        <v>55463655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0.31679999999999997</v>
      </c>
      <c r="CY3">
        <f>AB3</f>
        <v>31.26</v>
      </c>
      <c r="CZ3">
        <f>AF3</f>
        <v>31.26</v>
      </c>
      <c r="DA3">
        <f>AJ3</f>
        <v>1</v>
      </c>
      <c r="DB3">
        <f t="shared" si="0"/>
        <v>45.01</v>
      </c>
      <c r="DC3">
        <f t="shared" si="1"/>
        <v>19.44</v>
      </c>
    </row>
    <row r="4" spans="1:107" ht="12.75">
      <c r="A4">
        <f>ROW(Source!A28)</f>
        <v>28</v>
      </c>
      <c r="B4">
        <v>55463411</v>
      </c>
      <c r="C4">
        <v>55463648</v>
      </c>
      <c r="D4">
        <v>53634988</v>
      </c>
      <c r="E4">
        <v>70</v>
      </c>
      <c r="F4">
        <v>1</v>
      </c>
      <c r="G4">
        <v>1</v>
      </c>
      <c r="H4">
        <v>3</v>
      </c>
      <c r="I4" t="s">
        <v>34</v>
      </c>
      <c r="K4" t="s">
        <v>35</v>
      </c>
      <c r="L4">
        <v>1348</v>
      </c>
      <c r="N4">
        <v>1009</v>
      </c>
      <c r="O4" t="s">
        <v>36</v>
      </c>
      <c r="P4" t="s">
        <v>36</v>
      </c>
      <c r="Q4">
        <v>1000</v>
      </c>
      <c r="W4">
        <v>0</v>
      </c>
      <c r="X4">
        <v>2102561428</v>
      </c>
      <c r="Y4">
        <v>2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T4">
        <v>2</v>
      </c>
      <c r="AV4">
        <v>0</v>
      </c>
      <c r="AW4">
        <v>2</v>
      </c>
      <c r="AX4">
        <v>55463656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0.44</v>
      </c>
      <c r="CY4">
        <f>AA4</f>
        <v>0</v>
      </c>
      <c r="CZ4">
        <f>AE4</f>
        <v>0</v>
      </c>
      <c r="DA4">
        <f>AI4</f>
        <v>1</v>
      </c>
      <c r="DB4">
        <f t="shared" si="0"/>
        <v>0</v>
      </c>
      <c r="DC4">
        <f t="shared" si="1"/>
        <v>0</v>
      </c>
    </row>
    <row r="5" spans="1:107" ht="12.75">
      <c r="A5">
        <f>ROW(Source!A29)</f>
        <v>29</v>
      </c>
      <c r="B5">
        <v>55463412</v>
      </c>
      <c r="C5">
        <v>55463648</v>
      </c>
      <c r="D5">
        <v>53630067</v>
      </c>
      <c r="E5">
        <v>70</v>
      </c>
      <c r="F5">
        <v>1</v>
      </c>
      <c r="G5">
        <v>1</v>
      </c>
      <c r="H5">
        <v>1</v>
      </c>
      <c r="I5" t="s">
        <v>355</v>
      </c>
      <c r="K5" t="s">
        <v>356</v>
      </c>
      <c r="L5">
        <v>1191</v>
      </c>
      <c r="N5">
        <v>1013</v>
      </c>
      <c r="O5" t="s">
        <v>357</v>
      </c>
      <c r="P5" t="s">
        <v>357</v>
      </c>
      <c r="Q5">
        <v>1</v>
      </c>
      <c r="W5">
        <v>0</v>
      </c>
      <c r="X5">
        <v>1049124552</v>
      </c>
      <c r="Y5">
        <v>69.87</v>
      </c>
      <c r="AA5">
        <v>0</v>
      </c>
      <c r="AB5">
        <v>0</v>
      </c>
      <c r="AC5">
        <v>0</v>
      </c>
      <c r="AD5">
        <v>311.09</v>
      </c>
      <c r="AE5">
        <v>0</v>
      </c>
      <c r="AF5">
        <v>0</v>
      </c>
      <c r="AG5">
        <v>0</v>
      </c>
      <c r="AH5">
        <v>8.53</v>
      </c>
      <c r="AI5">
        <v>1</v>
      </c>
      <c r="AJ5">
        <v>1</v>
      </c>
      <c r="AK5">
        <v>1</v>
      </c>
      <c r="AL5">
        <v>36.47</v>
      </c>
      <c r="AN5">
        <v>0</v>
      </c>
      <c r="AO5">
        <v>1</v>
      </c>
      <c r="AP5">
        <v>0</v>
      </c>
      <c r="AQ5">
        <v>0</v>
      </c>
      <c r="AR5">
        <v>0</v>
      </c>
      <c r="AT5">
        <v>69.87</v>
      </c>
      <c r="AV5">
        <v>1</v>
      </c>
      <c r="AW5">
        <v>2</v>
      </c>
      <c r="AX5">
        <v>55463653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15.371400000000001</v>
      </c>
      <c r="CY5">
        <f>AD5</f>
        <v>311.09</v>
      </c>
      <c r="CZ5">
        <f>AH5</f>
        <v>8.53</v>
      </c>
      <c r="DA5">
        <f>AL5</f>
        <v>36.47</v>
      </c>
      <c r="DB5">
        <f t="shared" si="0"/>
        <v>595.99</v>
      </c>
      <c r="DC5">
        <f t="shared" si="1"/>
        <v>0</v>
      </c>
    </row>
    <row r="6" spans="1:107" ht="12.75">
      <c r="A6">
        <f>ROW(Source!A29)</f>
        <v>29</v>
      </c>
      <c r="B6">
        <v>55463412</v>
      </c>
      <c r="C6">
        <v>55463648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358</v>
      </c>
      <c r="K6" t="s">
        <v>359</v>
      </c>
      <c r="L6">
        <v>1191</v>
      </c>
      <c r="N6">
        <v>1013</v>
      </c>
      <c r="O6" t="s">
        <v>357</v>
      </c>
      <c r="P6" t="s">
        <v>357</v>
      </c>
      <c r="Q6">
        <v>1</v>
      </c>
      <c r="W6">
        <v>0</v>
      </c>
      <c r="X6">
        <v>-1417349443</v>
      </c>
      <c r="Y6">
        <v>1.44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36.47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1.44</v>
      </c>
      <c r="AV6">
        <v>2</v>
      </c>
      <c r="AW6">
        <v>2</v>
      </c>
      <c r="AX6">
        <v>55463654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0.31679999999999997</v>
      </c>
      <c r="CY6">
        <f>AD6</f>
        <v>0</v>
      </c>
      <c r="CZ6">
        <f>AH6</f>
        <v>0</v>
      </c>
      <c r="DA6">
        <f>AL6</f>
        <v>1</v>
      </c>
      <c r="DB6">
        <f t="shared" si="0"/>
        <v>0</v>
      </c>
      <c r="DC6">
        <f t="shared" si="1"/>
        <v>0</v>
      </c>
    </row>
    <row r="7" spans="1:107" ht="12.75">
      <c r="A7">
        <f>ROW(Source!A29)</f>
        <v>29</v>
      </c>
      <c r="B7">
        <v>55463412</v>
      </c>
      <c r="C7">
        <v>55463648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360</v>
      </c>
      <c r="J7" t="s">
        <v>361</v>
      </c>
      <c r="K7" t="s">
        <v>362</v>
      </c>
      <c r="L7">
        <v>1367</v>
      </c>
      <c r="N7">
        <v>1011</v>
      </c>
      <c r="O7" t="s">
        <v>363</v>
      </c>
      <c r="P7" t="s">
        <v>363</v>
      </c>
      <c r="Q7">
        <v>1</v>
      </c>
      <c r="W7">
        <v>0</v>
      </c>
      <c r="X7">
        <v>1232162608</v>
      </c>
      <c r="Y7">
        <v>1.44</v>
      </c>
      <c r="AA7">
        <v>0</v>
      </c>
      <c r="AB7">
        <v>405.44</v>
      </c>
      <c r="AC7">
        <v>492.35</v>
      </c>
      <c r="AD7">
        <v>0</v>
      </c>
      <c r="AE7">
        <v>0</v>
      </c>
      <c r="AF7">
        <v>31.26</v>
      </c>
      <c r="AG7">
        <v>13.5</v>
      </c>
      <c r="AH7">
        <v>0</v>
      </c>
      <c r="AI7">
        <v>1</v>
      </c>
      <c r="AJ7">
        <v>12.97</v>
      </c>
      <c r="AK7">
        <v>36.47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1.44</v>
      </c>
      <c r="AV7">
        <v>0</v>
      </c>
      <c r="AW7">
        <v>2</v>
      </c>
      <c r="AX7">
        <v>55463655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0.31679999999999997</v>
      </c>
      <c r="CY7">
        <f>AB7</f>
        <v>405.44</v>
      </c>
      <c r="CZ7">
        <f>AF7</f>
        <v>31.26</v>
      </c>
      <c r="DA7">
        <f>AJ7</f>
        <v>12.97</v>
      </c>
      <c r="DB7">
        <f t="shared" si="0"/>
        <v>45.01</v>
      </c>
      <c r="DC7">
        <f t="shared" si="1"/>
        <v>19.44</v>
      </c>
    </row>
    <row r="8" spans="1:107" ht="12.75">
      <c r="A8">
        <f>ROW(Source!A29)</f>
        <v>29</v>
      </c>
      <c r="B8">
        <v>55463412</v>
      </c>
      <c r="C8">
        <v>55463648</v>
      </c>
      <c r="D8">
        <v>53634988</v>
      </c>
      <c r="E8">
        <v>70</v>
      </c>
      <c r="F8">
        <v>1</v>
      </c>
      <c r="G8">
        <v>1</v>
      </c>
      <c r="H8">
        <v>3</v>
      </c>
      <c r="I8" t="s">
        <v>34</v>
      </c>
      <c r="K8" t="s">
        <v>35</v>
      </c>
      <c r="L8">
        <v>1348</v>
      </c>
      <c r="N8">
        <v>1009</v>
      </c>
      <c r="O8" t="s">
        <v>36</v>
      </c>
      <c r="P8" t="s">
        <v>36</v>
      </c>
      <c r="Q8">
        <v>1000</v>
      </c>
      <c r="W8">
        <v>0</v>
      </c>
      <c r="X8">
        <v>2102561428</v>
      </c>
      <c r="Y8">
        <v>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6.82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T8">
        <v>2</v>
      </c>
      <c r="AV8">
        <v>0</v>
      </c>
      <c r="AW8">
        <v>2</v>
      </c>
      <c r="AX8">
        <v>55463656</v>
      </c>
      <c r="AY8">
        <v>1</v>
      </c>
      <c r="AZ8">
        <v>6144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0.44</v>
      </c>
      <c r="CY8">
        <f>AA8</f>
        <v>0</v>
      </c>
      <c r="CZ8">
        <f>AE8</f>
        <v>0</v>
      </c>
      <c r="DA8">
        <f>AI8</f>
        <v>6.82</v>
      </c>
      <c r="DB8">
        <f t="shared" si="0"/>
        <v>0</v>
      </c>
      <c r="DC8">
        <f t="shared" si="1"/>
        <v>0</v>
      </c>
    </row>
    <row r="9" spans="1:107" ht="12.75">
      <c r="A9">
        <f>ROW(Source!A32)</f>
        <v>32</v>
      </c>
      <c r="B9">
        <v>55463411</v>
      </c>
      <c r="C9">
        <v>55463658</v>
      </c>
      <c r="D9">
        <v>37822871</v>
      </c>
      <c r="E9">
        <v>1</v>
      </c>
      <c r="F9">
        <v>1</v>
      </c>
      <c r="G9">
        <v>1</v>
      </c>
      <c r="H9">
        <v>1</v>
      </c>
      <c r="I9" t="s">
        <v>364</v>
      </c>
      <c r="K9" t="s">
        <v>365</v>
      </c>
      <c r="L9">
        <v>1191</v>
      </c>
      <c r="N9">
        <v>1013</v>
      </c>
      <c r="O9" t="s">
        <v>357</v>
      </c>
      <c r="P9" t="s">
        <v>357</v>
      </c>
      <c r="Q9">
        <v>1</v>
      </c>
      <c r="W9">
        <v>0</v>
      </c>
      <c r="X9">
        <v>601269248</v>
      </c>
      <c r="Y9">
        <v>18.68</v>
      </c>
      <c r="AA9">
        <v>0</v>
      </c>
      <c r="AB9">
        <v>0</v>
      </c>
      <c r="AC9">
        <v>0</v>
      </c>
      <c r="AD9">
        <v>7.62</v>
      </c>
      <c r="AE9">
        <v>0</v>
      </c>
      <c r="AF9">
        <v>0</v>
      </c>
      <c r="AG9">
        <v>0</v>
      </c>
      <c r="AH9">
        <v>7.62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18.68</v>
      </c>
      <c r="AV9">
        <v>1</v>
      </c>
      <c r="AW9">
        <v>2</v>
      </c>
      <c r="AX9">
        <v>55463660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32.372440000000005</v>
      </c>
      <c r="CY9">
        <f>AD9</f>
        <v>7.62</v>
      </c>
      <c r="CZ9">
        <f>AH9</f>
        <v>7.62</v>
      </c>
      <c r="DA9">
        <f>AL9</f>
        <v>1</v>
      </c>
      <c r="DB9">
        <f t="shared" si="0"/>
        <v>142.34</v>
      </c>
      <c r="DC9">
        <f t="shared" si="1"/>
        <v>0</v>
      </c>
    </row>
    <row r="10" spans="1:107" ht="12.75">
      <c r="A10">
        <f>ROW(Source!A33)</f>
        <v>33</v>
      </c>
      <c r="B10">
        <v>55463412</v>
      </c>
      <c r="C10">
        <v>55463658</v>
      </c>
      <c r="D10">
        <v>37822871</v>
      </c>
      <c r="E10">
        <v>1</v>
      </c>
      <c r="F10">
        <v>1</v>
      </c>
      <c r="G10">
        <v>1</v>
      </c>
      <c r="H10">
        <v>1</v>
      </c>
      <c r="I10" t="s">
        <v>364</v>
      </c>
      <c r="K10" t="s">
        <v>365</v>
      </c>
      <c r="L10">
        <v>1191</v>
      </c>
      <c r="N10">
        <v>1013</v>
      </c>
      <c r="O10" t="s">
        <v>357</v>
      </c>
      <c r="P10" t="s">
        <v>357</v>
      </c>
      <c r="Q10">
        <v>1</v>
      </c>
      <c r="W10">
        <v>0</v>
      </c>
      <c r="X10">
        <v>601269248</v>
      </c>
      <c r="Y10">
        <v>18.68</v>
      </c>
      <c r="AA10">
        <v>0</v>
      </c>
      <c r="AB10">
        <v>0</v>
      </c>
      <c r="AC10">
        <v>0</v>
      </c>
      <c r="AD10">
        <v>277.9</v>
      </c>
      <c r="AE10">
        <v>0</v>
      </c>
      <c r="AF10">
        <v>0</v>
      </c>
      <c r="AG10">
        <v>0</v>
      </c>
      <c r="AH10">
        <v>7.62</v>
      </c>
      <c r="AI10">
        <v>1</v>
      </c>
      <c r="AJ10">
        <v>1</v>
      </c>
      <c r="AK10">
        <v>1</v>
      </c>
      <c r="AL10">
        <v>36.47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18.68</v>
      </c>
      <c r="AV10">
        <v>1</v>
      </c>
      <c r="AW10">
        <v>2</v>
      </c>
      <c r="AX10">
        <v>55463660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Y10*Source!I33</f>
        <v>32.372440000000005</v>
      </c>
      <c r="CY10">
        <f>AD10</f>
        <v>277.9</v>
      </c>
      <c r="CZ10">
        <f>AH10</f>
        <v>7.62</v>
      </c>
      <c r="DA10">
        <f>AL10</f>
        <v>36.47</v>
      </c>
      <c r="DB10">
        <f t="shared" si="0"/>
        <v>142.34</v>
      </c>
      <c r="DC10">
        <f t="shared" si="1"/>
        <v>0</v>
      </c>
    </row>
    <row r="11" spans="1:107" ht="12.75">
      <c r="A11">
        <f>ROW(Source!A34)</f>
        <v>34</v>
      </c>
      <c r="B11">
        <v>55463411</v>
      </c>
      <c r="C11">
        <v>55463661</v>
      </c>
      <c r="D11">
        <v>37822885</v>
      </c>
      <c r="E11">
        <v>1</v>
      </c>
      <c r="F11">
        <v>1</v>
      </c>
      <c r="G11">
        <v>1</v>
      </c>
      <c r="H11">
        <v>1</v>
      </c>
      <c r="I11" t="s">
        <v>366</v>
      </c>
      <c r="K11" t="s">
        <v>367</v>
      </c>
      <c r="L11">
        <v>1191</v>
      </c>
      <c r="N11">
        <v>1013</v>
      </c>
      <c r="O11" t="s">
        <v>357</v>
      </c>
      <c r="P11" t="s">
        <v>357</v>
      </c>
      <c r="Q11">
        <v>1</v>
      </c>
      <c r="W11">
        <v>0</v>
      </c>
      <c r="X11">
        <v>371339561</v>
      </c>
      <c r="Y11">
        <v>77.72</v>
      </c>
      <c r="AA11">
        <v>0</v>
      </c>
      <c r="AB11">
        <v>0</v>
      </c>
      <c r="AC11">
        <v>0</v>
      </c>
      <c r="AD11">
        <v>8.09</v>
      </c>
      <c r="AE11">
        <v>0</v>
      </c>
      <c r="AF11">
        <v>0</v>
      </c>
      <c r="AG11">
        <v>0</v>
      </c>
      <c r="AH11">
        <v>8.09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77.72</v>
      </c>
      <c r="AV11">
        <v>1</v>
      </c>
      <c r="AW11">
        <v>2</v>
      </c>
      <c r="AX11">
        <v>55463667</v>
      </c>
      <c r="AY11">
        <v>1</v>
      </c>
      <c r="AZ11">
        <v>6144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Y11*Source!I34</f>
        <v>6.4119</v>
      </c>
      <c r="CY11">
        <f>AD11</f>
        <v>8.09</v>
      </c>
      <c r="CZ11">
        <f>AH11</f>
        <v>8.09</v>
      </c>
      <c r="DA11">
        <f>AL11</f>
        <v>1</v>
      </c>
      <c r="DB11">
        <f t="shared" si="0"/>
        <v>628.75</v>
      </c>
      <c r="DC11">
        <f t="shared" si="1"/>
        <v>0</v>
      </c>
    </row>
    <row r="12" spans="1:107" ht="12.75">
      <c r="A12">
        <f>ROW(Source!A34)</f>
        <v>34</v>
      </c>
      <c r="B12">
        <v>55463411</v>
      </c>
      <c r="C12">
        <v>55463661</v>
      </c>
      <c r="D12">
        <v>37822850</v>
      </c>
      <c r="E12">
        <v>1</v>
      </c>
      <c r="F12">
        <v>1</v>
      </c>
      <c r="G12">
        <v>1</v>
      </c>
      <c r="H12">
        <v>1</v>
      </c>
      <c r="I12" t="s">
        <v>358</v>
      </c>
      <c r="K12" t="s">
        <v>359</v>
      </c>
      <c r="L12">
        <v>1191</v>
      </c>
      <c r="N12">
        <v>1013</v>
      </c>
      <c r="O12" t="s">
        <v>357</v>
      </c>
      <c r="P12" t="s">
        <v>357</v>
      </c>
      <c r="Q12">
        <v>1</v>
      </c>
      <c r="W12">
        <v>0</v>
      </c>
      <c r="X12">
        <v>-1417349443</v>
      </c>
      <c r="Y12">
        <v>16.85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16.85</v>
      </c>
      <c r="AV12">
        <v>2</v>
      </c>
      <c r="AW12">
        <v>2</v>
      </c>
      <c r="AX12">
        <v>55463668</v>
      </c>
      <c r="AY12">
        <v>1</v>
      </c>
      <c r="AZ12">
        <v>6144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Y12*Source!I34</f>
        <v>1.3901250000000003</v>
      </c>
      <c r="CY12">
        <f>AD12</f>
        <v>0</v>
      </c>
      <c r="CZ12">
        <f>AH12</f>
        <v>0</v>
      </c>
      <c r="DA12">
        <f>AL12</f>
        <v>1</v>
      </c>
      <c r="DB12">
        <f t="shared" si="0"/>
        <v>0</v>
      </c>
      <c r="DC12">
        <f t="shared" si="1"/>
        <v>0</v>
      </c>
    </row>
    <row r="13" spans="1:107" ht="12.75">
      <c r="A13">
        <f>ROW(Source!A34)</f>
        <v>34</v>
      </c>
      <c r="B13">
        <v>55463411</v>
      </c>
      <c r="C13">
        <v>55463661</v>
      </c>
      <c r="D13">
        <v>44975597</v>
      </c>
      <c r="E13">
        <v>1</v>
      </c>
      <c r="F13">
        <v>1</v>
      </c>
      <c r="G13">
        <v>1</v>
      </c>
      <c r="H13">
        <v>2</v>
      </c>
      <c r="I13" t="s">
        <v>368</v>
      </c>
      <c r="J13" t="s">
        <v>369</v>
      </c>
      <c r="K13" t="s">
        <v>370</v>
      </c>
      <c r="L13">
        <v>1368</v>
      </c>
      <c r="N13">
        <v>1011</v>
      </c>
      <c r="O13" t="s">
        <v>371</v>
      </c>
      <c r="P13" t="s">
        <v>371</v>
      </c>
      <c r="Q13">
        <v>1</v>
      </c>
      <c r="W13">
        <v>0</v>
      </c>
      <c r="X13">
        <v>734155226</v>
      </c>
      <c r="Y13">
        <v>4.51</v>
      </c>
      <c r="AA13">
        <v>0</v>
      </c>
      <c r="AB13">
        <v>79.07</v>
      </c>
      <c r="AC13">
        <v>13.5</v>
      </c>
      <c r="AD13">
        <v>0</v>
      </c>
      <c r="AE13">
        <v>0</v>
      </c>
      <c r="AF13">
        <v>79.07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4.51</v>
      </c>
      <c r="AV13">
        <v>0</v>
      </c>
      <c r="AW13">
        <v>2</v>
      </c>
      <c r="AX13">
        <v>55463669</v>
      </c>
      <c r="AY13">
        <v>1</v>
      </c>
      <c r="AZ13">
        <v>6144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0.372075</v>
      </c>
      <c r="CY13">
        <f>AB13</f>
        <v>79.07</v>
      </c>
      <c r="CZ13">
        <f>AF13</f>
        <v>79.07</v>
      </c>
      <c r="DA13">
        <f>AJ13</f>
        <v>1</v>
      </c>
      <c r="DB13">
        <f t="shared" si="0"/>
        <v>356.61</v>
      </c>
      <c r="DC13">
        <f t="shared" si="1"/>
        <v>60.89</v>
      </c>
    </row>
    <row r="14" spans="1:107" ht="12.75">
      <c r="A14">
        <f>ROW(Source!A34)</f>
        <v>34</v>
      </c>
      <c r="B14">
        <v>55463411</v>
      </c>
      <c r="C14">
        <v>55463661</v>
      </c>
      <c r="D14">
        <v>44975663</v>
      </c>
      <c r="E14">
        <v>1</v>
      </c>
      <c r="F14">
        <v>1</v>
      </c>
      <c r="G14">
        <v>1</v>
      </c>
      <c r="H14">
        <v>2</v>
      </c>
      <c r="I14" t="s">
        <v>372</v>
      </c>
      <c r="J14" t="s">
        <v>373</v>
      </c>
      <c r="K14" t="s">
        <v>374</v>
      </c>
      <c r="L14">
        <v>1368</v>
      </c>
      <c r="N14">
        <v>1011</v>
      </c>
      <c r="O14" t="s">
        <v>371</v>
      </c>
      <c r="P14" t="s">
        <v>371</v>
      </c>
      <c r="Q14">
        <v>1</v>
      </c>
      <c r="W14">
        <v>0</v>
      </c>
      <c r="X14">
        <v>1947716975</v>
      </c>
      <c r="Y14">
        <v>12.34</v>
      </c>
      <c r="AA14">
        <v>0</v>
      </c>
      <c r="AB14">
        <v>115.27</v>
      </c>
      <c r="AC14">
        <v>13.5</v>
      </c>
      <c r="AD14">
        <v>0</v>
      </c>
      <c r="AE14">
        <v>0</v>
      </c>
      <c r="AF14">
        <v>115.27</v>
      </c>
      <c r="AG14">
        <v>13.5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12.34</v>
      </c>
      <c r="AV14">
        <v>0</v>
      </c>
      <c r="AW14">
        <v>2</v>
      </c>
      <c r="AX14">
        <v>55463670</v>
      </c>
      <c r="AY14">
        <v>1</v>
      </c>
      <c r="AZ14">
        <v>6144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1.0180500000000001</v>
      </c>
      <c r="CY14">
        <f>AB14</f>
        <v>115.27</v>
      </c>
      <c r="CZ14">
        <f>AF14</f>
        <v>115.27</v>
      </c>
      <c r="DA14">
        <f>AJ14</f>
        <v>1</v>
      </c>
      <c r="DB14">
        <f t="shared" si="0"/>
        <v>1422.43</v>
      </c>
      <c r="DC14">
        <f t="shared" si="1"/>
        <v>166.59</v>
      </c>
    </row>
    <row r="15" spans="1:107" ht="12.75">
      <c r="A15">
        <f>ROW(Source!A34)</f>
        <v>34</v>
      </c>
      <c r="B15">
        <v>55463411</v>
      </c>
      <c r="C15">
        <v>55463661</v>
      </c>
      <c r="D15">
        <v>44977174</v>
      </c>
      <c r="E15">
        <v>1</v>
      </c>
      <c r="F15">
        <v>1</v>
      </c>
      <c r="G15">
        <v>1</v>
      </c>
      <c r="H15">
        <v>2</v>
      </c>
      <c r="I15" t="s">
        <v>375</v>
      </c>
      <c r="J15" t="s">
        <v>376</v>
      </c>
      <c r="K15" t="s">
        <v>377</v>
      </c>
      <c r="L15">
        <v>1368</v>
      </c>
      <c r="N15">
        <v>1011</v>
      </c>
      <c r="O15" t="s">
        <v>371</v>
      </c>
      <c r="P15" t="s">
        <v>371</v>
      </c>
      <c r="Q15">
        <v>1</v>
      </c>
      <c r="W15">
        <v>0</v>
      </c>
      <c r="X15">
        <v>205838882</v>
      </c>
      <c r="Y15">
        <v>1.98</v>
      </c>
      <c r="AA15">
        <v>0</v>
      </c>
      <c r="AB15">
        <v>8</v>
      </c>
      <c r="AC15">
        <v>0</v>
      </c>
      <c r="AD15">
        <v>0</v>
      </c>
      <c r="AE15">
        <v>0</v>
      </c>
      <c r="AF15">
        <v>8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1.98</v>
      </c>
      <c r="AV15">
        <v>0</v>
      </c>
      <c r="AW15">
        <v>2</v>
      </c>
      <c r="AX15">
        <v>55463671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0.16335</v>
      </c>
      <c r="CY15">
        <f>AB15</f>
        <v>8</v>
      </c>
      <c r="CZ15">
        <f>AF15</f>
        <v>8</v>
      </c>
      <c r="DA15">
        <f>AJ15</f>
        <v>1</v>
      </c>
      <c r="DB15">
        <f t="shared" si="0"/>
        <v>15.84</v>
      </c>
      <c r="DC15">
        <f t="shared" si="1"/>
        <v>0</v>
      </c>
    </row>
    <row r="16" spans="1:107" ht="12.75">
      <c r="A16">
        <f>ROW(Source!A35)</f>
        <v>35</v>
      </c>
      <c r="B16">
        <v>55463412</v>
      </c>
      <c r="C16">
        <v>55463661</v>
      </c>
      <c r="D16">
        <v>37822885</v>
      </c>
      <c r="E16">
        <v>1</v>
      </c>
      <c r="F16">
        <v>1</v>
      </c>
      <c r="G16">
        <v>1</v>
      </c>
      <c r="H16">
        <v>1</v>
      </c>
      <c r="I16" t="s">
        <v>366</v>
      </c>
      <c r="K16" t="s">
        <v>367</v>
      </c>
      <c r="L16">
        <v>1191</v>
      </c>
      <c r="N16">
        <v>1013</v>
      </c>
      <c r="O16" t="s">
        <v>357</v>
      </c>
      <c r="P16" t="s">
        <v>357</v>
      </c>
      <c r="Q16">
        <v>1</v>
      </c>
      <c r="W16">
        <v>0</v>
      </c>
      <c r="X16">
        <v>371339561</v>
      </c>
      <c r="Y16">
        <v>77.72</v>
      </c>
      <c r="AA16">
        <v>0</v>
      </c>
      <c r="AB16">
        <v>0</v>
      </c>
      <c r="AC16">
        <v>0</v>
      </c>
      <c r="AD16">
        <v>295.04</v>
      </c>
      <c r="AE16">
        <v>0</v>
      </c>
      <c r="AF16">
        <v>0</v>
      </c>
      <c r="AG16">
        <v>0</v>
      </c>
      <c r="AH16">
        <v>8.09</v>
      </c>
      <c r="AI16">
        <v>1</v>
      </c>
      <c r="AJ16">
        <v>1</v>
      </c>
      <c r="AK16">
        <v>1</v>
      </c>
      <c r="AL16">
        <v>36.47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77.72</v>
      </c>
      <c r="AV16">
        <v>1</v>
      </c>
      <c r="AW16">
        <v>2</v>
      </c>
      <c r="AX16">
        <v>55463667</v>
      </c>
      <c r="AY16">
        <v>1</v>
      </c>
      <c r="AZ16">
        <v>6144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6.4119</v>
      </c>
      <c r="CY16">
        <f>AD16</f>
        <v>295.04</v>
      </c>
      <c r="CZ16">
        <f>AH16</f>
        <v>8.09</v>
      </c>
      <c r="DA16">
        <f>AL16</f>
        <v>36.47</v>
      </c>
      <c r="DB16">
        <f t="shared" si="0"/>
        <v>628.75</v>
      </c>
      <c r="DC16">
        <f t="shared" si="1"/>
        <v>0</v>
      </c>
    </row>
    <row r="17" spans="1:107" ht="12.75">
      <c r="A17">
        <f>ROW(Source!A35)</f>
        <v>35</v>
      </c>
      <c r="B17">
        <v>55463412</v>
      </c>
      <c r="C17">
        <v>55463661</v>
      </c>
      <c r="D17">
        <v>37822850</v>
      </c>
      <c r="E17">
        <v>1</v>
      </c>
      <c r="F17">
        <v>1</v>
      </c>
      <c r="G17">
        <v>1</v>
      </c>
      <c r="H17">
        <v>1</v>
      </c>
      <c r="I17" t="s">
        <v>358</v>
      </c>
      <c r="K17" t="s">
        <v>359</v>
      </c>
      <c r="L17">
        <v>1191</v>
      </c>
      <c r="N17">
        <v>1013</v>
      </c>
      <c r="O17" t="s">
        <v>357</v>
      </c>
      <c r="P17" t="s">
        <v>357</v>
      </c>
      <c r="Q17">
        <v>1</v>
      </c>
      <c r="W17">
        <v>0</v>
      </c>
      <c r="X17">
        <v>-1417349443</v>
      </c>
      <c r="Y17">
        <v>16.85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36.47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16.85</v>
      </c>
      <c r="AV17">
        <v>2</v>
      </c>
      <c r="AW17">
        <v>2</v>
      </c>
      <c r="AX17">
        <v>55463668</v>
      </c>
      <c r="AY17">
        <v>1</v>
      </c>
      <c r="AZ17">
        <v>6144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Y17*Source!I35</f>
        <v>1.3901250000000003</v>
      </c>
      <c r="CY17">
        <f>AD17</f>
        <v>0</v>
      </c>
      <c r="CZ17">
        <f>AH17</f>
        <v>0</v>
      </c>
      <c r="DA17">
        <f>AL17</f>
        <v>1</v>
      </c>
      <c r="DB17">
        <f t="shared" si="0"/>
        <v>0</v>
      </c>
      <c r="DC17">
        <f t="shared" si="1"/>
        <v>0</v>
      </c>
    </row>
    <row r="18" spans="1:107" ht="12.75">
      <c r="A18">
        <f>ROW(Source!A35)</f>
        <v>35</v>
      </c>
      <c r="B18">
        <v>55463412</v>
      </c>
      <c r="C18">
        <v>55463661</v>
      </c>
      <c r="D18">
        <v>44975597</v>
      </c>
      <c r="E18">
        <v>1</v>
      </c>
      <c r="F18">
        <v>1</v>
      </c>
      <c r="G18">
        <v>1</v>
      </c>
      <c r="H18">
        <v>2</v>
      </c>
      <c r="I18" t="s">
        <v>368</v>
      </c>
      <c r="J18" t="s">
        <v>369</v>
      </c>
      <c r="K18" t="s">
        <v>370</v>
      </c>
      <c r="L18">
        <v>1368</v>
      </c>
      <c r="N18">
        <v>1011</v>
      </c>
      <c r="O18" t="s">
        <v>371</v>
      </c>
      <c r="P18" t="s">
        <v>371</v>
      </c>
      <c r="Q18">
        <v>1</v>
      </c>
      <c r="W18">
        <v>0</v>
      </c>
      <c r="X18">
        <v>734155226</v>
      </c>
      <c r="Y18">
        <v>4.51</v>
      </c>
      <c r="AA18">
        <v>0</v>
      </c>
      <c r="AB18">
        <v>1025.54</v>
      </c>
      <c r="AC18">
        <v>492.35</v>
      </c>
      <c r="AD18">
        <v>0</v>
      </c>
      <c r="AE18">
        <v>0</v>
      </c>
      <c r="AF18">
        <v>79.07</v>
      </c>
      <c r="AG18">
        <v>13.5</v>
      </c>
      <c r="AH18">
        <v>0</v>
      </c>
      <c r="AI18">
        <v>1</v>
      </c>
      <c r="AJ18">
        <v>12.97</v>
      </c>
      <c r="AK18">
        <v>36.47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4.51</v>
      </c>
      <c r="AV18">
        <v>0</v>
      </c>
      <c r="AW18">
        <v>2</v>
      </c>
      <c r="AX18">
        <v>55463669</v>
      </c>
      <c r="AY18">
        <v>1</v>
      </c>
      <c r="AZ18">
        <v>6144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0.372075</v>
      </c>
      <c r="CY18">
        <f>AB18</f>
        <v>1025.54</v>
      </c>
      <c r="CZ18">
        <f>AF18</f>
        <v>79.07</v>
      </c>
      <c r="DA18">
        <f>AJ18</f>
        <v>12.97</v>
      </c>
      <c r="DB18">
        <f t="shared" si="0"/>
        <v>356.61</v>
      </c>
      <c r="DC18">
        <f t="shared" si="1"/>
        <v>60.89</v>
      </c>
    </row>
    <row r="19" spans="1:107" ht="12.75">
      <c r="A19">
        <f>ROW(Source!A35)</f>
        <v>35</v>
      </c>
      <c r="B19">
        <v>55463412</v>
      </c>
      <c r="C19">
        <v>55463661</v>
      </c>
      <c r="D19">
        <v>44975663</v>
      </c>
      <c r="E19">
        <v>1</v>
      </c>
      <c r="F19">
        <v>1</v>
      </c>
      <c r="G19">
        <v>1</v>
      </c>
      <c r="H19">
        <v>2</v>
      </c>
      <c r="I19" t="s">
        <v>372</v>
      </c>
      <c r="J19" t="s">
        <v>373</v>
      </c>
      <c r="K19" t="s">
        <v>374</v>
      </c>
      <c r="L19">
        <v>1368</v>
      </c>
      <c r="N19">
        <v>1011</v>
      </c>
      <c r="O19" t="s">
        <v>371</v>
      </c>
      <c r="P19" t="s">
        <v>371</v>
      </c>
      <c r="Q19">
        <v>1</v>
      </c>
      <c r="W19">
        <v>0</v>
      </c>
      <c r="X19">
        <v>1947716975</v>
      </c>
      <c r="Y19">
        <v>12.34</v>
      </c>
      <c r="AA19">
        <v>0</v>
      </c>
      <c r="AB19">
        <v>1495.05</v>
      </c>
      <c r="AC19">
        <v>492.35</v>
      </c>
      <c r="AD19">
        <v>0</v>
      </c>
      <c r="AE19">
        <v>0</v>
      </c>
      <c r="AF19">
        <v>115.27</v>
      </c>
      <c r="AG19">
        <v>13.5</v>
      </c>
      <c r="AH19">
        <v>0</v>
      </c>
      <c r="AI19">
        <v>1</v>
      </c>
      <c r="AJ19">
        <v>12.97</v>
      </c>
      <c r="AK19">
        <v>36.47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12.34</v>
      </c>
      <c r="AV19">
        <v>0</v>
      </c>
      <c r="AW19">
        <v>2</v>
      </c>
      <c r="AX19">
        <v>55463670</v>
      </c>
      <c r="AY19">
        <v>1</v>
      </c>
      <c r="AZ19">
        <v>6144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1.0180500000000001</v>
      </c>
      <c r="CY19">
        <f>AB19</f>
        <v>1495.05</v>
      </c>
      <c r="CZ19">
        <f>AF19</f>
        <v>115.27</v>
      </c>
      <c r="DA19">
        <f>AJ19</f>
        <v>12.97</v>
      </c>
      <c r="DB19">
        <f t="shared" si="0"/>
        <v>1422.43</v>
      </c>
      <c r="DC19">
        <f t="shared" si="1"/>
        <v>166.59</v>
      </c>
    </row>
    <row r="20" spans="1:107" ht="12.75">
      <c r="A20">
        <f>ROW(Source!A35)</f>
        <v>35</v>
      </c>
      <c r="B20">
        <v>55463412</v>
      </c>
      <c r="C20">
        <v>55463661</v>
      </c>
      <c r="D20">
        <v>44977174</v>
      </c>
      <c r="E20">
        <v>1</v>
      </c>
      <c r="F20">
        <v>1</v>
      </c>
      <c r="G20">
        <v>1</v>
      </c>
      <c r="H20">
        <v>2</v>
      </c>
      <c r="I20" t="s">
        <v>375</v>
      </c>
      <c r="J20" t="s">
        <v>376</v>
      </c>
      <c r="K20" t="s">
        <v>377</v>
      </c>
      <c r="L20">
        <v>1368</v>
      </c>
      <c r="N20">
        <v>1011</v>
      </c>
      <c r="O20" t="s">
        <v>371</v>
      </c>
      <c r="P20" t="s">
        <v>371</v>
      </c>
      <c r="Q20">
        <v>1</v>
      </c>
      <c r="W20">
        <v>0</v>
      </c>
      <c r="X20">
        <v>205838882</v>
      </c>
      <c r="Y20">
        <v>1.98</v>
      </c>
      <c r="AA20">
        <v>0</v>
      </c>
      <c r="AB20">
        <v>103.76</v>
      </c>
      <c r="AC20">
        <v>0</v>
      </c>
      <c r="AD20">
        <v>0</v>
      </c>
      <c r="AE20">
        <v>0</v>
      </c>
      <c r="AF20">
        <v>8</v>
      </c>
      <c r="AG20">
        <v>0</v>
      </c>
      <c r="AH20">
        <v>0</v>
      </c>
      <c r="AI20">
        <v>1</v>
      </c>
      <c r="AJ20">
        <v>12.97</v>
      </c>
      <c r="AK20">
        <v>36.47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1.98</v>
      </c>
      <c r="AV20">
        <v>0</v>
      </c>
      <c r="AW20">
        <v>2</v>
      </c>
      <c r="AX20">
        <v>55463671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0.16335</v>
      </c>
      <c r="CY20">
        <f>AB20</f>
        <v>103.76</v>
      </c>
      <c r="CZ20">
        <f>AF20</f>
        <v>8</v>
      </c>
      <c r="DA20">
        <f>AJ20</f>
        <v>12.97</v>
      </c>
      <c r="DB20">
        <f t="shared" si="0"/>
        <v>15.84</v>
      </c>
      <c r="DC20">
        <f t="shared" si="1"/>
        <v>0</v>
      </c>
    </row>
    <row r="21" spans="1:107" ht="12.75">
      <c r="A21">
        <f>ROW(Source!A36)</f>
        <v>36</v>
      </c>
      <c r="B21">
        <v>55463411</v>
      </c>
      <c r="C21">
        <v>55463672</v>
      </c>
      <c r="D21">
        <v>53630045</v>
      </c>
      <c r="E21">
        <v>70</v>
      </c>
      <c r="F21">
        <v>1</v>
      </c>
      <c r="G21">
        <v>1</v>
      </c>
      <c r="H21">
        <v>1</v>
      </c>
      <c r="I21" t="s">
        <v>378</v>
      </c>
      <c r="K21" t="s">
        <v>379</v>
      </c>
      <c r="L21">
        <v>1191</v>
      </c>
      <c r="N21">
        <v>1013</v>
      </c>
      <c r="O21" t="s">
        <v>357</v>
      </c>
      <c r="P21" t="s">
        <v>357</v>
      </c>
      <c r="Q21">
        <v>1</v>
      </c>
      <c r="W21">
        <v>0</v>
      </c>
      <c r="X21">
        <v>1903864200</v>
      </c>
      <c r="Y21">
        <v>88.205</v>
      </c>
      <c r="AA21">
        <v>0</v>
      </c>
      <c r="AB21">
        <v>0</v>
      </c>
      <c r="AC21">
        <v>0</v>
      </c>
      <c r="AD21">
        <v>8.02</v>
      </c>
      <c r="AE21">
        <v>0</v>
      </c>
      <c r="AF21">
        <v>0</v>
      </c>
      <c r="AG21">
        <v>0</v>
      </c>
      <c r="AH21">
        <v>8.02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76.7</v>
      </c>
      <c r="AU21" t="s">
        <v>57</v>
      </c>
      <c r="AV21">
        <v>1</v>
      </c>
      <c r="AW21">
        <v>2</v>
      </c>
      <c r="AX21">
        <v>55463674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52.922999999999995</v>
      </c>
      <c r="CY21">
        <f aca="true" t="shared" si="2" ref="CY21:CY26">AD21</f>
        <v>8.02</v>
      </c>
      <c r="CZ21">
        <f aca="true" t="shared" si="3" ref="CZ21:CZ26">AH21</f>
        <v>8.02</v>
      </c>
      <c r="DA21">
        <f aca="true" t="shared" si="4" ref="DA21:DA26">AL21</f>
        <v>1</v>
      </c>
      <c r="DB21">
        <f>ROUND((ROUND(AT21*CZ21,2)*ROUND(1.15,7)),2)</f>
        <v>707.4</v>
      </c>
      <c r="DC21">
        <f>ROUND((ROUND(AT21*AG21,2)*ROUND(1.15,7)),2)</f>
        <v>0</v>
      </c>
    </row>
    <row r="22" spans="1:107" ht="12.75">
      <c r="A22">
        <f>ROW(Source!A37)</f>
        <v>37</v>
      </c>
      <c r="B22">
        <v>55463412</v>
      </c>
      <c r="C22">
        <v>55463672</v>
      </c>
      <c r="D22">
        <v>53630045</v>
      </c>
      <c r="E22">
        <v>70</v>
      </c>
      <c r="F22">
        <v>1</v>
      </c>
      <c r="G22">
        <v>1</v>
      </c>
      <c r="H22">
        <v>1</v>
      </c>
      <c r="I22" t="s">
        <v>378</v>
      </c>
      <c r="K22" t="s">
        <v>379</v>
      </c>
      <c r="L22">
        <v>1191</v>
      </c>
      <c r="N22">
        <v>1013</v>
      </c>
      <c r="O22" t="s">
        <v>357</v>
      </c>
      <c r="P22" t="s">
        <v>357</v>
      </c>
      <c r="Q22">
        <v>1</v>
      </c>
      <c r="W22">
        <v>0</v>
      </c>
      <c r="X22">
        <v>1903864200</v>
      </c>
      <c r="Y22">
        <v>88.205</v>
      </c>
      <c r="AA22">
        <v>0</v>
      </c>
      <c r="AB22">
        <v>0</v>
      </c>
      <c r="AC22">
        <v>0</v>
      </c>
      <c r="AD22">
        <v>292.49</v>
      </c>
      <c r="AE22">
        <v>0</v>
      </c>
      <c r="AF22">
        <v>0</v>
      </c>
      <c r="AG22">
        <v>0</v>
      </c>
      <c r="AH22">
        <v>8.02</v>
      </c>
      <c r="AI22">
        <v>1</v>
      </c>
      <c r="AJ22">
        <v>1</v>
      </c>
      <c r="AK22">
        <v>1</v>
      </c>
      <c r="AL22">
        <v>36.47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76.7</v>
      </c>
      <c r="AU22" t="s">
        <v>57</v>
      </c>
      <c r="AV22">
        <v>1</v>
      </c>
      <c r="AW22">
        <v>2</v>
      </c>
      <c r="AX22">
        <v>55463674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Y22*Source!I37</f>
        <v>52.922999999999995</v>
      </c>
      <c r="CY22">
        <f t="shared" si="2"/>
        <v>292.49</v>
      </c>
      <c r="CZ22">
        <f t="shared" si="3"/>
        <v>8.02</v>
      </c>
      <c r="DA22">
        <f t="shared" si="4"/>
        <v>36.47</v>
      </c>
      <c r="DB22">
        <f>ROUND((ROUND(AT22*CZ22,2)*ROUND(1.15,7)),2)</f>
        <v>707.4</v>
      </c>
      <c r="DC22">
        <f>ROUND((ROUND(AT22*AG22,2)*ROUND(1.15,7)),2)</f>
        <v>0</v>
      </c>
    </row>
    <row r="23" spans="1:107" ht="12.75">
      <c r="A23">
        <f>ROW(Source!A74)</f>
        <v>74</v>
      </c>
      <c r="B23">
        <v>55463411</v>
      </c>
      <c r="C23">
        <v>55463675</v>
      </c>
      <c r="D23">
        <v>53630033</v>
      </c>
      <c r="E23">
        <v>70</v>
      </c>
      <c r="F23">
        <v>1</v>
      </c>
      <c r="G23">
        <v>1</v>
      </c>
      <c r="H23">
        <v>1</v>
      </c>
      <c r="I23" t="s">
        <v>380</v>
      </c>
      <c r="K23" t="s">
        <v>381</v>
      </c>
      <c r="L23">
        <v>1191</v>
      </c>
      <c r="N23">
        <v>1013</v>
      </c>
      <c r="O23" t="s">
        <v>357</v>
      </c>
      <c r="P23" t="s">
        <v>357</v>
      </c>
      <c r="Q23">
        <v>1</v>
      </c>
      <c r="W23">
        <v>0</v>
      </c>
      <c r="X23">
        <v>2031828327</v>
      </c>
      <c r="Y23">
        <v>10.2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10.2</v>
      </c>
      <c r="AV23">
        <v>1</v>
      </c>
      <c r="AW23">
        <v>2</v>
      </c>
      <c r="AX23">
        <v>55463677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Y23*Source!I74</f>
        <v>17.6766</v>
      </c>
      <c r="CY23">
        <f t="shared" si="2"/>
        <v>7.8</v>
      </c>
      <c r="CZ23">
        <f t="shared" si="3"/>
        <v>7.8</v>
      </c>
      <c r="DA23">
        <f t="shared" si="4"/>
        <v>1</v>
      </c>
      <c r="DB23">
        <f>ROUND(ROUND(AT23*CZ23,2),2)</f>
        <v>79.56</v>
      </c>
      <c r="DC23">
        <f>ROUND(ROUND(AT23*AG23,2),2)</f>
        <v>0</v>
      </c>
    </row>
    <row r="24" spans="1:107" ht="12.75">
      <c r="A24">
        <f>ROW(Source!A75)</f>
        <v>75</v>
      </c>
      <c r="B24">
        <v>55463412</v>
      </c>
      <c r="C24">
        <v>55463675</v>
      </c>
      <c r="D24">
        <v>53630033</v>
      </c>
      <c r="E24">
        <v>70</v>
      </c>
      <c r="F24">
        <v>1</v>
      </c>
      <c r="G24">
        <v>1</v>
      </c>
      <c r="H24">
        <v>1</v>
      </c>
      <c r="I24" t="s">
        <v>380</v>
      </c>
      <c r="K24" t="s">
        <v>381</v>
      </c>
      <c r="L24">
        <v>1191</v>
      </c>
      <c r="N24">
        <v>1013</v>
      </c>
      <c r="O24" t="s">
        <v>357</v>
      </c>
      <c r="P24" t="s">
        <v>357</v>
      </c>
      <c r="Q24">
        <v>1</v>
      </c>
      <c r="W24">
        <v>0</v>
      </c>
      <c r="X24">
        <v>2031828327</v>
      </c>
      <c r="Y24">
        <v>10.2</v>
      </c>
      <c r="AA24">
        <v>0</v>
      </c>
      <c r="AB24">
        <v>0</v>
      </c>
      <c r="AC24">
        <v>0</v>
      </c>
      <c r="AD24">
        <v>284.47</v>
      </c>
      <c r="AE24">
        <v>0</v>
      </c>
      <c r="AF24">
        <v>0</v>
      </c>
      <c r="AG24">
        <v>0</v>
      </c>
      <c r="AH24">
        <v>7.8</v>
      </c>
      <c r="AI24">
        <v>1</v>
      </c>
      <c r="AJ24">
        <v>1</v>
      </c>
      <c r="AK24">
        <v>1</v>
      </c>
      <c r="AL24">
        <v>36.47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10.2</v>
      </c>
      <c r="AV24">
        <v>1</v>
      </c>
      <c r="AW24">
        <v>2</v>
      </c>
      <c r="AX24">
        <v>55463677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Y24*Source!I75</f>
        <v>17.6766</v>
      </c>
      <c r="CY24">
        <f t="shared" si="2"/>
        <v>284.47</v>
      </c>
      <c r="CZ24">
        <f t="shared" si="3"/>
        <v>7.8</v>
      </c>
      <c r="DA24">
        <f t="shared" si="4"/>
        <v>36.47</v>
      </c>
      <c r="DB24">
        <f>ROUND(ROUND(AT24*CZ24,2),2)</f>
        <v>79.56</v>
      </c>
      <c r="DC24">
        <f>ROUND(ROUND(AT24*AG24,2),2)</f>
        <v>0</v>
      </c>
    </row>
    <row r="25" spans="1:107" ht="12.75">
      <c r="A25">
        <f>ROW(Source!A76)</f>
        <v>76</v>
      </c>
      <c r="B25">
        <v>55463411</v>
      </c>
      <c r="C25">
        <v>55463678</v>
      </c>
      <c r="D25">
        <v>53630067</v>
      </c>
      <c r="E25">
        <v>70</v>
      </c>
      <c r="F25">
        <v>1</v>
      </c>
      <c r="G25">
        <v>1</v>
      </c>
      <c r="H25">
        <v>1</v>
      </c>
      <c r="I25" t="s">
        <v>355</v>
      </c>
      <c r="K25" t="s">
        <v>356</v>
      </c>
      <c r="L25">
        <v>1191</v>
      </c>
      <c r="N25">
        <v>1013</v>
      </c>
      <c r="O25" t="s">
        <v>357</v>
      </c>
      <c r="P25" t="s">
        <v>357</v>
      </c>
      <c r="Q25">
        <v>1</v>
      </c>
      <c r="W25">
        <v>0</v>
      </c>
      <c r="X25">
        <v>1049124552</v>
      </c>
      <c r="Y25">
        <v>14.409499999999998</v>
      </c>
      <c r="AA25">
        <v>0</v>
      </c>
      <c r="AB25">
        <v>0</v>
      </c>
      <c r="AC25">
        <v>0</v>
      </c>
      <c r="AD25">
        <v>8.53</v>
      </c>
      <c r="AE25">
        <v>0</v>
      </c>
      <c r="AF25">
        <v>0</v>
      </c>
      <c r="AG25">
        <v>0</v>
      </c>
      <c r="AH25">
        <v>8.53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12.53</v>
      </c>
      <c r="AU25" t="s">
        <v>57</v>
      </c>
      <c r="AV25">
        <v>1</v>
      </c>
      <c r="AW25">
        <v>2</v>
      </c>
      <c r="AX25">
        <v>55463683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Y25*Source!I76</f>
        <v>2.3055199999999996</v>
      </c>
      <c r="CY25">
        <f t="shared" si="2"/>
        <v>8.53</v>
      </c>
      <c r="CZ25">
        <f t="shared" si="3"/>
        <v>8.53</v>
      </c>
      <c r="DA25">
        <f t="shared" si="4"/>
        <v>1</v>
      </c>
      <c r="DB25">
        <f>ROUND((ROUND(AT25*CZ25,2)*ROUND(1.15,7)),2)</f>
        <v>122.91</v>
      </c>
      <c r="DC25">
        <f>ROUND((ROUND(AT25*AG25,2)*ROUND(1.15,7)),2)</f>
        <v>0</v>
      </c>
    </row>
    <row r="26" spans="1:107" ht="12.75">
      <c r="A26">
        <f>ROW(Source!A76)</f>
        <v>76</v>
      </c>
      <c r="B26">
        <v>55463411</v>
      </c>
      <c r="C26">
        <v>55463678</v>
      </c>
      <c r="D26">
        <v>53630257</v>
      </c>
      <c r="E26">
        <v>70</v>
      </c>
      <c r="F26">
        <v>1</v>
      </c>
      <c r="G26">
        <v>1</v>
      </c>
      <c r="H26">
        <v>1</v>
      </c>
      <c r="I26" t="s">
        <v>358</v>
      </c>
      <c r="K26" t="s">
        <v>359</v>
      </c>
      <c r="L26">
        <v>1191</v>
      </c>
      <c r="N26">
        <v>1013</v>
      </c>
      <c r="O26" t="s">
        <v>357</v>
      </c>
      <c r="P26" t="s">
        <v>357</v>
      </c>
      <c r="Q26">
        <v>1</v>
      </c>
      <c r="W26">
        <v>0</v>
      </c>
      <c r="X26">
        <v>-1417349443</v>
      </c>
      <c r="Y26">
        <v>3.2750000000000004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2.62</v>
      </c>
      <c r="AU26" t="s">
        <v>56</v>
      </c>
      <c r="AV26">
        <v>2</v>
      </c>
      <c r="AW26">
        <v>2</v>
      </c>
      <c r="AX26">
        <v>55463684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Y26*Source!I76</f>
        <v>0.524</v>
      </c>
      <c r="CY26">
        <f t="shared" si="2"/>
        <v>0</v>
      </c>
      <c r="CZ26">
        <f t="shared" si="3"/>
        <v>0</v>
      </c>
      <c r="DA26">
        <f t="shared" si="4"/>
        <v>1</v>
      </c>
      <c r="DB26">
        <f>ROUND((ROUND(AT26*CZ26,2)*ROUND(1.25,7)),2)</f>
        <v>0</v>
      </c>
      <c r="DC26">
        <f>ROUND((ROUND(AT26*AG26,2)*ROUND(1.25,7)),2)</f>
        <v>0</v>
      </c>
    </row>
    <row r="27" spans="1:107" ht="12.75">
      <c r="A27">
        <f>ROW(Source!A76)</f>
        <v>76</v>
      </c>
      <c r="B27">
        <v>55463411</v>
      </c>
      <c r="C27">
        <v>55463678</v>
      </c>
      <c r="D27">
        <v>53792470</v>
      </c>
      <c r="E27">
        <v>1</v>
      </c>
      <c r="F27">
        <v>1</v>
      </c>
      <c r="G27">
        <v>1</v>
      </c>
      <c r="H27">
        <v>2</v>
      </c>
      <c r="I27" t="s">
        <v>382</v>
      </c>
      <c r="J27" t="s">
        <v>383</v>
      </c>
      <c r="K27" t="s">
        <v>384</v>
      </c>
      <c r="L27">
        <v>1367</v>
      </c>
      <c r="N27">
        <v>1011</v>
      </c>
      <c r="O27" t="s">
        <v>363</v>
      </c>
      <c r="P27" t="s">
        <v>363</v>
      </c>
      <c r="Q27">
        <v>1</v>
      </c>
      <c r="W27">
        <v>0</v>
      </c>
      <c r="X27">
        <v>-852670241</v>
      </c>
      <c r="Y27">
        <v>13.125</v>
      </c>
      <c r="AA27">
        <v>0</v>
      </c>
      <c r="AB27">
        <v>0.55</v>
      </c>
      <c r="AC27">
        <v>0</v>
      </c>
      <c r="AD27">
        <v>0</v>
      </c>
      <c r="AE27">
        <v>0</v>
      </c>
      <c r="AF27">
        <v>0.55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10.5</v>
      </c>
      <c r="AU27" t="s">
        <v>56</v>
      </c>
      <c r="AV27">
        <v>0</v>
      </c>
      <c r="AW27">
        <v>2</v>
      </c>
      <c r="AX27">
        <v>55463685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Y27*Source!I76</f>
        <v>2.1</v>
      </c>
      <c r="CY27">
        <f>AB27</f>
        <v>0.55</v>
      </c>
      <c r="CZ27">
        <f>AF27</f>
        <v>0.55</v>
      </c>
      <c r="DA27">
        <f>AJ27</f>
        <v>1</v>
      </c>
      <c r="DB27">
        <f>ROUND((ROUND(AT27*CZ27,2)*ROUND(1.25,7)),2)</f>
        <v>7.23</v>
      </c>
      <c r="DC27">
        <f>ROUND((ROUND(AT27*AG27,2)*ROUND(1.25,7)),2)</f>
        <v>0</v>
      </c>
    </row>
    <row r="28" spans="1:107" ht="12.75">
      <c r="A28">
        <f>ROW(Source!A76)</f>
        <v>76</v>
      </c>
      <c r="B28">
        <v>55463411</v>
      </c>
      <c r="C28">
        <v>55463678</v>
      </c>
      <c r="D28">
        <v>53793153</v>
      </c>
      <c r="E28">
        <v>1</v>
      </c>
      <c r="F28">
        <v>1</v>
      </c>
      <c r="G28">
        <v>1</v>
      </c>
      <c r="H28">
        <v>2</v>
      </c>
      <c r="I28" t="s">
        <v>385</v>
      </c>
      <c r="J28" t="s">
        <v>386</v>
      </c>
      <c r="K28" t="s">
        <v>387</v>
      </c>
      <c r="L28">
        <v>1367</v>
      </c>
      <c r="N28">
        <v>1011</v>
      </c>
      <c r="O28" t="s">
        <v>363</v>
      </c>
      <c r="P28" t="s">
        <v>363</v>
      </c>
      <c r="Q28">
        <v>1</v>
      </c>
      <c r="W28">
        <v>0</v>
      </c>
      <c r="X28">
        <v>-1111507504</v>
      </c>
      <c r="Y28">
        <v>3.2750000000000004</v>
      </c>
      <c r="AA28">
        <v>0</v>
      </c>
      <c r="AB28">
        <v>90</v>
      </c>
      <c r="AC28">
        <v>10.06</v>
      </c>
      <c r="AD28">
        <v>0</v>
      </c>
      <c r="AE28">
        <v>0</v>
      </c>
      <c r="AF28">
        <v>90</v>
      </c>
      <c r="AG28">
        <v>10.06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2.62</v>
      </c>
      <c r="AU28" t="s">
        <v>56</v>
      </c>
      <c r="AV28">
        <v>0</v>
      </c>
      <c r="AW28">
        <v>2</v>
      </c>
      <c r="AX28">
        <v>55463686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Y28*Source!I76</f>
        <v>0.524</v>
      </c>
      <c r="CY28">
        <f>AB28</f>
        <v>90</v>
      </c>
      <c r="CZ28">
        <f>AF28</f>
        <v>90</v>
      </c>
      <c r="DA28">
        <f>AJ28</f>
        <v>1</v>
      </c>
      <c r="DB28">
        <f>ROUND((ROUND(AT28*CZ28,2)*ROUND(1.25,7)),2)</f>
        <v>294.75</v>
      </c>
      <c r="DC28">
        <f>ROUND((ROUND(AT28*AG28,2)*ROUND(1.25,7)),2)</f>
        <v>32.95</v>
      </c>
    </row>
    <row r="29" spans="1:107" ht="12.75">
      <c r="A29">
        <f>ROW(Source!A77)</f>
        <v>77</v>
      </c>
      <c r="B29">
        <v>55463412</v>
      </c>
      <c r="C29">
        <v>55463678</v>
      </c>
      <c r="D29">
        <v>53630067</v>
      </c>
      <c r="E29">
        <v>70</v>
      </c>
      <c r="F29">
        <v>1</v>
      </c>
      <c r="G29">
        <v>1</v>
      </c>
      <c r="H29">
        <v>1</v>
      </c>
      <c r="I29" t="s">
        <v>355</v>
      </c>
      <c r="K29" t="s">
        <v>356</v>
      </c>
      <c r="L29">
        <v>1191</v>
      </c>
      <c r="N29">
        <v>1013</v>
      </c>
      <c r="O29" t="s">
        <v>357</v>
      </c>
      <c r="P29" t="s">
        <v>357</v>
      </c>
      <c r="Q29">
        <v>1</v>
      </c>
      <c r="W29">
        <v>0</v>
      </c>
      <c r="X29">
        <v>1049124552</v>
      </c>
      <c r="Y29">
        <v>14.409499999999998</v>
      </c>
      <c r="AA29">
        <v>0</v>
      </c>
      <c r="AB29">
        <v>0</v>
      </c>
      <c r="AC29">
        <v>0</v>
      </c>
      <c r="AD29">
        <v>311.09</v>
      </c>
      <c r="AE29">
        <v>0</v>
      </c>
      <c r="AF29">
        <v>0</v>
      </c>
      <c r="AG29">
        <v>0</v>
      </c>
      <c r="AH29">
        <v>8.53</v>
      </c>
      <c r="AI29">
        <v>1</v>
      </c>
      <c r="AJ29">
        <v>1</v>
      </c>
      <c r="AK29">
        <v>1</v>
      </c>
      <c r="AL29">
        <v>36.47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12.53</v>
      </c>
      <c r="AU29" t="s">
        <v>57</v>
      </c>
      <c r="AV29">
        <v>1</v>
      </c>
      <c r="AW29">
        <v>2</v>
      </c>
      <c r="AX29">
        <v>55463683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Y29*Source!I77</f>
        <v>2.3055199999999996</v>
      </c>
      <c r="CY29">
        <f>AD29</f>
        <v>311.09</v>
      </c>
      <c r="CZ29">
        <f>AH29</f>
        <v>8.53</v>
      </c>
      <c r="DA29">
        <f>AL29</f>
        <v>36.47</v>
      </c>
      <c r="DB29">
        <f>ROUND((ROUND(AT29*CZ29,2)*ROUND(1.15,7)),2)</f>
        <v>122.91</v>
      </c>
      <c r="DC29">
        <f>ROUND((ROUND(AT29*AG29,2)*ROUND(1.15,7)),2)</f>
        <v>0</v>
      </c>
    </row>
    <row r="30" spans="1:107" ht="12.75">
      <c r="A30">
        <f>ROW(Source!A77)</f>
        <v>77</v>
      </c>
      <c r="B30">
        <v>55463412</v>
      </c>
      <c r="C30">
        <v>55463678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358</v>
      </c>
      <c r="K30" t="s">
        <v>359</v>
      </c>
      <c r="L30">
        <v>1191</v>
      </c>
      <c r="N30">
        <v>1013</v>
      </c>
      <c r="O30" t="s">
        <v>357</v>
      </c>
      <c r="P30" t="s">
        <v>357</v>
      </c>
      <c r="Q30">
        <v>1</v>
      </c>
      <c r="W30">
        <v>0</v>
      </c>
      <c r="X30">
        <v>-1417349443</v>
      </c>
      <c r="Y30">
        <v>3.2750000000000004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36.47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2.62</v>
      </c>
      <c r="AU30" t="s">
        <v>56</v>
      </c>
      <c r="AV30">
        <v>2</v>
      </c>
      <c r="AW30">
        <v>2</v>
      </c>
      <c r="AX30">
        <v>55463684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Y30*Source!I77</f>
        <v>0.524</v>
      </c>
      <c r="CY30">
        <f>AD30</f>
        <v>0</v>
      </c>
      <c r="CZ30">
        <f>AH30</f>
        <v>0</v>
      </c>
      <c r="DA30">
        <f>AL30</f>
        <v>1</v>
      </c>
      <c r="DB30">
        <f>ROUND((ROUND(AT30*CZ30,2)*ROUND(1.25,7)),2)</f>
        <v>0</v>
      </c>
      <c r="DC30">
        <f>ROUND((ROUND(AT30*AG30,2)*ROUND(1.25,7)),2)</f>
        <v>0</v>
      </c>
    </row>
    <row r="31" spans="1:107" ht="12.75">
      <c r="A31">
        <f>ROW(Source!A77)</f>
        <v>77</v>
      </c>
      <c r="B31">
        <v>55463412</v>
      </c>
      <c r="C31">
        <v>55463678</v>
      </c>
      <c r="D31">
        <v>53792470</v>
      </c>
      <c r="E31">
        <v>1</v>
      </c>
      <c r="F31">
        <v>1</v>
      </c>
      <c r="G31">
        <v>1</v>
      </c>
      <c r="H31">
        <v>2</v>
      </c>
      <c r="I31" t="s">
        <v>382</v>
      </c>
      <c r="J31" t="s">
        <v>383</v>
      </c>
      <c r="K31" t="s">
        <v>384</v>
      </c>
      <c r="L31">
        <v>1367</v>
      </c>
      <c r="N31">
        <v>1011</v>
      </c>
      <c r="O31" t="s">
        <v>363</v>
      </c>
      <c r="P31" t="s">
        <v>363</v>
      </c>
      <c r="Q31">
        <v>1</v>
      </c>
      <c r="W31">
        <v>0</v>
      </c>
      <c r="X31">
        <v>-852670241</v>
      </c>
      <c r="Y31">
        <v>13.125</v>
      </c>
      <c r="AA31">
        <v>0</v>
      </c>
      <c r="AB31">
        <v>7.13</v>
      </c>
      <c r="AC31">
        <v>0</v>
      </c>
      <c r="AD31">
        <v>0</v>
      </c>
      <c r="AE31">
        <v>0</v>
      </c>
      <c r="AF31">
        <v>0.55</v>
      </c>
      <c r="AG31">
        <v>0</v>
      </c>
      <c r="AH31">
        <v>0</v>
      </c>
      <c r="AI31">
        <v>1</v>
      </c>
      <c r="AJ31">
        <v>12.97</v>
      </c>
      <c r="AK31">
        <v>36.47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10.5</v>
      </c>
      <c r="AU31" t="s">
        <v>56</v>
      </c>
      <c r="AV31">
        <v>0</v>
      </c>
      <c r="AW31">
        <v>2</v>
      </c>
      <c r="AX31">
        <v>55463685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Y31*Source!I77</f>
        <v>2.1</v>
      </c>
      <c r="CY31">
        <f>AB31</f>
        <v>7.13</v>
      </c>
      <c r="CZ31">
        <f>AF31</f>
        <v>0.55</v>
      </c>
      <c r="DA31">
        <f>AJ31</f>
        <v>12.97</v>
      </c>
      <c r="DB31">
        <f>ROUND((ROUND(AT31*CZ31,2)*ROUND(1.25,7)),2)</f>
        <v>7.23</v>
      </c>
      <c r="DC31">
        <f>ROUND((ROUND(AT31*AG31,2)*ROUND(1.25,7)),2)</f>
        <v>0</v>
      </c>
    </row>
    <row r="32" spans="1:107" ht="12.75">
      <c r="A32">
        <f>ROW(Source!A77)</f>
        <v>77</v>
      </c>
      <c r="B32">
        <v>55463412</v>
      </c>
      <c r="C32">
        <v>55463678</v>
      </c>
      <c r="D32">
        <v>53793153</v>
      </c>
      <c r="E32">
        <v>1</v>
      </c>
      <c r="F32">
        <v>1</v>
      </c>
      <c r="G32">
        <v>1</v>
      </c>
      <c r="H32">
        <v>2</v>
      </c>
      <c r="I32" t="s">
        <v>385</v>
      </c>
      <c r="J32" t="s">
        <v>386</v>
      </c>
      <c r="K32" t="s">
        <v>387</v>
      </c>
      <c r="L32">
        <v>1367</v>
      </c>
      <c r="N32">
        <v>1011</v>
      </c>
      <c r="O32" t="s">
        <v>363</v>
      </c>
      <c r="P32" t="s">
        <v>363</v>
      </c>
      <c r="Q32">
        <v>1</v>
      </c>
      <c r="W32">
        <v>0</v>
      </c>
      <c r="X32">
        <v>-1111507504</v>
      </c>
      <c r="Y32">
        <v>3.2750000000000004</v>
      </c>
      <c r="AA32">
        <v>0</v>
      </c>
      <c r="AB32">
        <v>1167.3</v>
      </c>
      <c r="AC32">
        <v>366.89</v>
      </c>
      <c r="AD32">
        <v>0</v>
      </c>
      <c r="AE32">
        <v>0</v>
      </c>
      <c r="AF32">
        <v>90</v>
      </c>
      <c r="AG32">
        <v>10.06</v>
      </c>
      <c r="AH32">
        <v>0</v>
      </c>
      <c r="AI32">
        <v>1</v>
      </c>
      <c r="AJ32">
        <v>12.97</v>
      </c>
      <c r="AK32">
        <v>36.47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2.62</v>
      </c>
      <c r="AU32" t="s">
        <v>56</v>
      </c>
      <c r="AV32">
        <v>0</v>
      </c>
      <c r="AW32">
        <v>2</v>
      </c>
      <c r="AX32">
        <v>55463686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Y32*Source!I77</f>
        <v>0.524</v>
      </c>
      <c r="CY32">
        <f>AB32</f>
        <v>1167.3</v>
      </c>
      <c r="CZ32">
        <f>AF32</f>
        <v>90</v>
      </c>
      <c r="DA32">
        <f>AJ32</f>
        <v>12.97</v>
      </c>
      <c r="DB32">
        <f>ROUND((ROUND(AT32*CZ32,2)*ROUND(1.25,7)),2)</f>
        <v>294.75</v>
      </c>
      <c r="DC32">
        <f>ROUND((ROUND(AT32*AG32,2)*ROUND(1.25,7)),2)</f>
        <v>32.95</v>
      </c>
    </row>
    <row r="33" spans="1:107" ht="12.75">
      <c r="A33">
        <f>ROW(Source!A78)</f>
        <v>78</v>
      </c>
      <c r="B33">
        <v>55463411</v>
      </c>
      <c r="C33">
        <v>55463687</v>
      </c>
      <c r="D33">
        <v>53630125</v>
      </c>
      <c r="E33">
        <v>70</v>
      </c>
      <c r="F33">
        <v>1</v>
      </c>
      <c r="G33">
        <v>1</v>
      </c>
      <c r="H33">
        <v>1</v>
      </c>
      <c r="I33" t="s">
        <v>388</v>
      </c>
      <c r="K33" t="s">
        <v>389</v>
      </c>
      <c r="L33">
        <v>1191</v>
      </c>
      <c r="N33">
        <v>1013</v>
      </c>
      <c r="O33" t="s">
        <v>357</v>
      </c>
      <c r="P33" t="s">
        <v>357</v>
      </c>
      <c r="Q33">
        <v>1</v>
      </c>
      <c r="W33">
        <v>0</v>
      </c>
      <c r="X33">
        <v>-632984526</v>
      </c>
      <c r="Y33">
        <v>158.7</v>
      </c>
      <c r="AA33">
        <v>0</v>
      </c>
      <c r="AB33">
        <v>0</v>
      </c>
      <c r="AC33">
        <v>0</v>
      </c>
      <c r="AD33">
        <v>10.21</v>
      </c>
      <c r="AE33">
        <v>0</v>
      </c>
      <c r="AF33">
        <v>0</v>
      </c>
      <c r="AG33">
        <v>0</v>
      </c>
      <c r="AH33">
        <v>10.21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138</v>
      </c>
      <c r="AU33" t="s">
        <v>57</v>
      </c>
      <c r="AV33">
        <v>1</v>
      </c>
      <c r="AW33">
        <v>2</v>
      </c>
      <c r="AX33">
        <v>55463703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Y33*Source!I78</f>
        <v>275.0271</v>
      </c>
      <c r="CY33">
        <f>AD33</f>
        <v>10.21</v>
      </c>
      <c r="CZ33">
        <f>AH33</f>
        <v>10.21</v>
      </c>
      <c r="DA33">
        <f>AL33</f>
        <v>1</v>
      </c>
      <c r="DB33">
        <f>ROUND((ROUND(AT33*CZ33,2)*ROUND(1.15,7)),2)</f>
        <v>1620.33</v>
      </c>
      <c r="DC33">
        <f>ROUND((ROUND(AT33*AG33,2)*ROUND(1.15,7)),2)</f>
        <v>0</v>
      </c>
    </row>
    <row r="34" spans="1:107" ht="12.75">
      <c r="A34">
        <f>ROW(Source!A78)</f>
        <v>78</v>
      </c>
      <c r="B34">
        <v>55463411</v>
      </c>
      <c r="C34">
        <v>55463687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358</v>
      </c>
      <c r="K34" t="s">
        <v>359</v>
      </c>
      <c r="L34">
        <v>1191</v>
      </c>
      <c r="N34">
        <v>1013</v>
      </c>
      <c r="O34" t="s">
        <v>357</v>
      </c>
      <c r="P34" t="s">
        <v>357</v>
      </c>
      <c r="Q34">
        <v>1</v>
      </c>
      <c r="W34">
        <v>0</v>
      </c>
      <c r="X34">
        <v>-1417349443</v>
      </c>
      <c r="Y34">
        <v>6.45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5.16</v>
      </c>
      <c r="AU34" t="s">
        <v>56</v>
      </c>
      <c r="AV34">
        <v>2</v>
      </c>
      <c r="AW34">
        <v>2</v>
      </c>
      <c r="AX34">
        <v>55463704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Y34*Source!I78</f>
        <v>11.177850000000001</v>
      </c>
      <c r="CY34">
        <f>AD34</f>
        <v>0</v>
      </c>
      <c r="CZ34">
        <f>AH34</f>
        <v>0</v>
      </c>
      <c r="DA34">
        <f>AL34</f>
        <v>1</v>
      </c>
      <c r="DB34">
        <f>ROUND((ROUND(AT34*CZ34,2)*ROUND(1.25,7)),2)</f>
        <v>0</v>
      </c>
      <c r="DC34">
        <f>ROUND((ROUND(AT34*AG34,2)*ROUND(1.25,7)),2)</f>
        <v>0</v>
      </c>
    </row>
    <row r="35" spans="1:107" ht="12.75">
      <c r="A35">
        <f>ROW(Source!A78)</f>
        <v>78</v>
      </c>
      <c r="B35">
        <v>55463411</v>
      </c>
      <c r="C35">
        <v>55463687</v>
      </c>
      <c r="D35">
        <v>53792191</v>
      </c>
      <c r="E35">
        <v>1</v>
      </c>
      <c r="F35">
        <v>1</v>
      </c>
      <c r="G35">
        <v>1</v>
      </c>
      <c r="H35">
        <v>2</v>
      </c>
      <c r="I35" t="s">
        <v>360</v>
      </c>
      <c r="J35" t="s">
        <v>361</v>
      </c>
      <c r="K35" t="s">
        <v>362</v>
      </c>
      <c r="L35">
        <v>1367</v>
      </c>
      <c r="N35">
        <v>1011</v>
      </c>
      <c r="O35" t="s">
        <v>363</v>
      </c>
      <c r="P35" t="s">
        <v>363</v>
      </c>
      <c r="Q35">
        <v>1</v>
      </c>
      <c r="W35">
        <v>0</v>
      </c>
      <c r="X35">
        <v>1232162608</v>
      </c>
      <c r="Y35">
        <v>0.1375</v>
      </c>
      <c r="AA35">
        <v>0</v>
      </c>
      <c r="AB35">
        <v>31.26</v>
      </c>
      <c r="AC35">
        <v>13.5</v>
      </c>
      <c r="AD35">
        <v>0</v>
      </c>
      <c r="AE35">
        <v>0</v>
      </c>
      <c r="AF35">
        <v>31.26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0.11</v>
      </c>
      <c r="AU35" t="s">
        <v>56</v>
      </c>
      <c r="AV35">
        <v>0</v>
      </c>
      <c r="AW35">
        <v>2</v>
      </c>
      <c r="AX35">
        <v>55463705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Y35*Source!I78</f>
        <v>0.23828750000000004</v>
      </c>
      <c r="CY35">
        <f>AB35</f>
        <v>31.26</v>
      </c>
      <c r="CZ35">
        <f>AF35</f>
        <v>31.26</v>
      </c>
      <c r="DA35">
        <f>AJ35</f>
        <v>1</v>
      </c>
      <c r="DB35">
        <f>ROUND((ROUND(AT35*CZ35,2)*ROUND(1.25,7)),2)</f>
        <v>4.3</v>
      </c>
      <c r="DC35">
        <f>ROUND((ROUND(AT35*AG35,2)*ROUND(1.25,7)),2)</f>
        <v>1.86</v>
      </c>
    </row>
    <row r="36" spans="1:107" ht="12.75">
      <c r="A36">
        <f>ROW(Source!A78)</f>
        <v>78</v>
      </c>
      <c r="B36">
        <v>55463411</v>
      </c>
      <c r="C36">
        <v>55463687</v>
      </c>
      <c r="D36">
        <v>53792927</v>
      </c>
      <c r="E36">
        <v>1</v>
      </c>
      <c r="F36">
        <v>1</v>
      </c>
      <c r="G36">
        <v>1</v>
      </c>
      <c r="H36">
        <v>2</v>
      </c>
      <c r="I36" t="s">
        <v>390</v>
      </c>
      <c r="J36" t="s">
        <v>391</v>
      </c>
      <c r="K36" t="s">
        <v>392</v>
      </c>
      <c r="L36">
        <v>1367</v>
      </c>
      <c r="N36">
        <v>1011</v>
      </c>
      <c r="O36" t="s">
        <v>363</v>
      </c>
      <c r="P36" t="s">
        <v>363</v>
      </c>
      <c r="Q36">
        <v>1</v>
      </c>
      <c r="W36">
        <v>0</v>
      </c>
      <c r="X36">
        <v>509054691</v>
      </c>
      <c r="Y36">
        <v>0.3125</v>
      </c>
      <c r="AA36">
        <v>0</v>
      </c>
      <c r="AB36">
        <v>65.71</v>
      </c>
      <c r="AC36">
        <v>11.6</v>
      </c>
      <c r="AD36">
        <v>0</v>
      </c>
      <c r="AE36">
        <v>0</v>
      </c>
      <c r="AF36">
        <v>65.71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0.25</v>
      </c>
      <c r="AU36" t="s">
        <v>56</v>
      </c>
      <c r="AV36">
        <v>0</v>
      </c>
      <c r="AW36">
        <v>2</v>
      </c>
      <c r="AX36">
        <v>55463706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Y36*Source!I78</f>
        <v>0.5415625000000001</v>
      </c>
      <c r="CY36">
        <f>AB36</f>
        <v>65.71</v>
      </c>
      <c r="CZ36">
        <f>AF36</f>
        <v>65.71</v>
      </c>
      <c r="DA36">
        <f>AJ36</f>
        <v>1</v>
      </c>
      <c r="DB36">
        <f>ROUND((ROUND(AT36*CZ36,2)*ROUND(1.25,7)),2)</f>
        <v>20.54</v>
      </c>
      <c r="DC36">
        <f>ROUND((ROUND(AT36*AG36,2)*ROUND(1.25,7)),2)</f>
        <v>3.63</v>
      </c>
    </row>
    <row r="37" spans="1:107" ht="12.75">
      <c r="A37">
        <f>ROW(Source!A78)</f>
        <v>78</v>
      </c>
      <c r="B37">
        <v>55463411</v>
      </c>
      <c r="C37">
        <v>55463687</v>
      </c>
      <c r="D37">
        <v>53793767</v>
      </c>
      <c r="E37">
        <v>1</v>
      </c>
      <c r="F37">
        <v>1</v>
      </c>
      <c r="G37">
        <v>1</v>
      </c>
      <c r="H37">
        <v>2</v>
      </c>
      <c r="I37" t="s">
        <v>393</v>
      </c>
      <c r="J37" t="s">
        <v>394</v>
      </c>
      <c r="K37" t="s">
        <v>395</v>
      </c>
      <c r="L37">
        <v>1367</v>
      </c>
      <c r="N37">
        <v>1011</v>
      </c>
      <c r="O37" t="s">
        <v>363</v>
      </c>
      <c r="P37" t="s">
        <v>363</v>
      </c>
      <c r="Q37">
        <v>1</v>
      </c>
      <c r="W37">
        <v>0</v>
      </c>
      <c r="X37">
        <v>-128635177</v>
      </c>
      <c r="Y37">
        <v>3.125</v>
      </c>
      <c r="AA37">
        <v>0</v>
      </c>
      <c r="AB37">
        <v>2.7</v>
      </c>
      <c r="AC37">
        <v>0</v>
      </c>
      <c r="AD37">
        <v>0</v>
      </c>
      <c r="AE37">
        <v>0</v>
      </c>
      <c r="AF37">
        <v>2.7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2.5</v>
      </c>
      <c r="AU37" t="s">
        <v>56</v>
      </c>
      <c r="AV37">
        <v>0</v>
      </c>
      <c r="AW37">
        <v>2</v>
      </c>
      <c r="AX37">
        <v>55463707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Y37*Source!I78</f>
        <v>5.415625</v>
      </c>
      <c r="CY37">
        <f>AB37</f>
        <v>2.7</v>
      </c>
      <c r="CZ37">
        <f>AF37</f>
        <v>2.7</v>
      </c>
      <c r="DA37">
        <f>AJ37</f>
        <v>1</v>
      </c>
      <c r="DB37">
        <f>ROUND((ROUND(AT37*CZ37,2)*ROUND(1.25,7)),2)</f>
        <v>8.44</v>
      </c>
      <c r="DC37">
        <f>ROUND((ROUND(AT37*AG37,2)*ROUND(1.25,7)),2)</f>
        <v>0</v>
      </c>
    </row>
    <row r="38" spans="1:107" ht="12.75">
      <c r="A38">
        <f>ROW(Source!A78)</f>
        <v>78</v>
      </c>
      <c r="B38">
        <v>55463411</v>
      </c>
      <c r="C38">
        <v>55463687</v>
      </c>
      <c r="D38">
        <v>53793782</v>
      </c>
      <c r="E38">
        <v>1</v>
      </c>
      <c r="F38">
        <v>1</v>
      </c>
      <c r="G38">
        <v>1</v>
      </c>
      <c r="H38">
        <v>2</v>
      </c>
      <c r="I38" t="s">
        <v>396</v>
      </c>
      <c r="J38" t="s">
        <v>397</v>
      </c>
      <c r="K38" t="s">
        <v>398</v>
      </c>
      <c r="L38">
        <v>1367</v>
      </c>
      <c r="N38">
        <v>1011</v>
      </c>
      <c r="O38" t="s">
        <v>363</v>
      </c>
      <c r="P38" t="s">
        <v>363</v>
      </c>
      <c r="Q38">
        <v>1</v>
      </c>
      <c r="W38">
        <v>0</v>
      </c>
      <c r="X38">
        <v>-1692607367</v>
      </c>
      <c r="Y38">
        <v>6</v>
      </c>
      <c r="AA38">
        <v>0</v>
      </c>
      <c r="AB38">
        <v>10.96</v>
      </c>
      <c r="AC38">
        <v>10.06</v>
      </c>
      <c r="AD38">
        <v>0</v>
      </c>
      <c r="AE38">
        <v>0</v>
      </c>
      <c r="AF38">
        <v>10.96</v>
      </c>
      <c r="AG38">
        <v>10.06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4.8</v>
      </c>
      <c r="AU38" t="s">
        <v>56</v>
      </c>
      <c r="AV38">
        <v>0</v>
      </c>
      <c r="AW38">
        <v>2</v>
      </c>
      <c r="AX38">
        <v>55463708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Y38*Source!I78</f>
        <v>10.398</v>
      </c>
      <c r="CY38">
        <f>AB38</f>
        <v>10.96</v>
      </c>
      <c r="CZ38">
        <f>AF38</f>
        <v>10.96</v>
      </c>
      <c r="DA38">
        <f>AJ38</f>
        <v>1</v>
      </c>
      <c r="DB38">
        <f>ROUND((ROUND(AT38*CZ38,2)*ROUND(1.25,7)),2)</f>
        <v>65.76</v>
      </c>
      <c r="DC38">
        <f>ROUND((ROUND(AT38*AG38,2)*ROUND(1.25,7)),2)</f>
        <v>60.36</v>
      </c>
    </row>
    <row r="39" spans="1:107" ht="12.75">
      <c r="A39">
        <f>ROW(Source!A78)</f>
        <v>78</v>
      </c>
      <c r="B39">
        <v>55463411</v>
      </c>
      <c r="C39">
        <v>55463687</v>
      </c>
      <c r="D39">
        <v>53640736</v>
      </c>
      <c r="E39">
        <v>1</v>
      </c>
      <c r="F39">
        <v>1</v>
      </c>
      <c r="G39">
        <v>1</v>
      </c>
      <c r="H39">
        <v>3</v>
      </c>
      <c r="I39" t="s">
        <v>150</v>
      </c>
      <c r="J39" t="s">
        <v>152</v>
      </c>
      <c r="K39" t="s">
        <v>151</v>
      </c>
      <c r="L39">
        <v>1348</v>
      </c>
      <c r="N39">
        <v>1009</v>
      </c>
      <c r="O39" t="s">
        <v>36</v>
      </c>
      <c r="P39" t="s">
        <v>36</v>
      </c>
      <c r="Q39">
        <v>1000</v>
      </c>
      <c r="W39">
        <v>1</v>
      </c>
      <c r="X39">
        <v>711732603</v>
      </c>
      <c r="Y39">
        <v>-0.116</v>
      </c>
      <c r="AA39">
        <v>1995</v>
      </c>
      <c r="AB39">
        <v>0</v>
      </c>
      <c r="AC39">
        <v>0</v>
      </c>
      <c r="AD39">
        <v>0</v>
      </c>
      <c r="AE39">
        <v>1995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-0.116</v>
      </c>
      <c r="AV39">
        <v>0</v>
      </c>
      <c r="AW39">
        <v>2</v>
      </c>
      <c r="AX39">
        <v>55463709</v>
      </c>
      <c r="AY39">
        <v>1</v>
      </c>
      <c r="AZ39">
        <v>6144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Y39*Source!I78</f>
        <v>-0.201028</v>
      </c>
      <c r="CY39">
        <f aca="true" t="shared" si="5" ref="CY39:CY47">AA39</f>
        <v>1995</v>
      </c>
      <c r="CZ39">
        <f aca="true" t="shared" si="6" ref="CZ39:CZ47">AE39</f>
        <v>1995</v>
      </c>
      <c r="DA39">
        <f aca="true" t="shared" si="7" ref="DA39:DA47">AI39</f>
        <v>1</v>
      </c>
      <c r="DB39">
        <f aca="true" t="shared" si="8" ref="DB39:DB47">ROUND(ROUND(AT39*CZ39,2),2)</f>
        <v>-231.42</v>
      </c>
      <c r="DC39">
        <f aca="true" t="shared" si="9" ref="DC39:DC47">ROUND(ROUND(AT39*AG39,2),2)</f>
        <v>0</v>
      </c>
    </row>
    <row r="40" spans="1:107" ht="12.75">
      <c r="A40">
        <f>ROW(Source!A78)</f>
        <v>78</v>
      </c>
      <c r="B40">
        <v>55463411</v>
      </c>
      <c r="C40">
        <v>55463687</v>
      </c>
      <c r="D40">
        <v>53640833</v>
      </c>
      <c r="E40">
        <v>1</v>
      </c>
      <c r="F40">
        <v>1</v>
      </c>
      <c r="G40">
        <v>1</v>
      </c>
      <c r="H40">
        <v>3</v>
      </c>
      <c r="I40" t="s">
        <v>154</v>
      </c>
      <c r="J40" t="s">
        <v>156</v>
      </c>
      <c r="K40" t="s">
        <v>155</v>
      </c>
      <c r="L40">
        <v>1348</v>
      </c>
      <c r="N40">
        <v>1009</v>
      </c>
      <c r="O40" t="s">
        <v>36</v>
      </c>
      <c r="P40" t="s">
        <v>36</v>
      </c>
      <c r="Q40">
        <v>1000</v>
      </c>
      <c r="W40">
        <v>1</v>
      </c>
      <c r="X40">
        <v>1314668235</v>
      </c>
      <c r="Y40">
        <v>-0.047</v>
      </c>
      <c r="AA40">
        <v>4488.4</v>
      </c>
      <c r="AB40">
        <v>0</v>
      </c>
      <c r="AC40">
        <v>0</v>
      </c>
      <c r="AD40">
        <v>0</v>
      </c>
      <c r="AE40">
        <v>4488.4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-0.047</v>
      </c>
      <c r="AV40">
        <v>0</v>
      </c>
      <c r="AW40">
        <v>2</v>
      </c>
      <c r="AX40">
        <v>55463710</v>
      </c>
      <c r="AY40">
        <v>1</v>
      </c>
      <c r="AZ40">
        <v>6144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Y40*Source!I78</f>
        <v>-0.08145100000000001</v>
      </c>
      <c r="CY40">
        <f t="shared" si="5"/>
        <v>4488.4</v>
      </c>
      <c r="CZ40">
        <f t="shared" si="6"/>
        <v>4488.4</v>
      </c>
      <c r="DA40">
        <f t="shared" si="7"/>
        <v>1</v>
      </c>
      <c r="DB40">
        <f t="shared" si="8"/>
        <v>-210.95</v>
      </c>
      <c r="DC40">
        <f t="shared" si="9"/>
        <v>0</v>
      </c>
    </row>
    <row r="41" spans="1:107" ht="12.75">
      <c r="A41">
        <f>ROW(Source!A78)</f>
        <v>78</v>
      </c>
      <c r="B41">
        <v>55463411</v>
      </c>
      <c r="C41">
        <v>55463687</v>
      </c>
      <c r="D41">
        <v>53643036</v>
      </c>
      <c r="E41">
        <v>1</v>
      </c>
      <c r="F41">
        <v>1</v>
      </c>
      <c r="G41">
        <v>1</v>
      </c>
      <c r="H41">
        <v>3</v>
      </c>
      <c r="I41" t="s">
        <v>399</v>
      </c>
      <c r="J41" t="s">
        <v>400</v>
      </c>
      <c r="K41" t="s">
        <v>401</v>
      </c>
      <c r="L41">
        <v>1327</v>
      </c>
      <c r="N41">
        <v>1005</v>
      </c>
      <c r="O41" t="s">
        <v>165</v>
      </c>
      <c r="P41" t="s">
        <v>165</v>
      </c>
      <c r="Q41">
        <v>1</v>
      </c>
      <c r="W41">
        <v>0</v>
      </c>
      <c r="X41">
        <v>587435244</v>
      </c>
      <c r="Y41">
        <v>112.42</v>
      </c>
      <c r="AA41">
        <v>12.19</v>
      </c>
      <c r="AB41">
        <v>0</v>
      </c>
      <c r="AC41">
        <v>0</v>
      </c>
      <c r="AD41">
        <v>0</v>
      </c>
      <c r="AE41">
        <v>12.19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112.42</v>
      </c>
      <c r="AV41">
        <v>0</v>
      </c>
      <c r="AW41">
        <v>2</v>
      </c>
      <c r="AX41">
        <v>55463711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Y41*Source!I78</f>
        <v>194.82386000000002</v>
      </c>
      <c r="CY41">
        <f t="shared" si="5"/>
        <v>12.19</v>
      </c>
      <c r="CZ41">
        <f t="shared" si="6"/>
        <v>12.19</v>
      </c>
      <c r="DA41">
        <f t="shared" si="7"/>
        <v>1</v>
      </c>
      <c r="DB41">
        <f t="shared" si="8"/>
        <v>1370.4</v>
      </c>
      <c r="DC41">
        <f t="shared" si="9"/>
        <v>0</v>
      </c>
    </row>
    <row r="42" spans="1:107" ht="12.75">
      <c r="A42">
        <f>ROW(Source!A78)</f>
        <v>78</v>
      </c>
      <c r="B42">
        <v>55463411</v>
      </c>
      <c r="C42">
        <v>55463687</v>
      </c>
      <c r="D42">
        <v>53646032</v>
      </c>
      <c r="E42">
        <v>1</v>
      </c>
      <c r="F42">
        <v>1</v>
      </c>
      <c r="G42">
        <v>1</v>
      </c>
      <c r="H42">
        <v>3</v>
      </c>
      <c r="I42" t="s">
        <v>402</v>
      </c>
      <c r="J42" t="s">
        <v>403</v>
      </c>
      <c r="K42" t="s">
        <v>404</v>
      </c>
      <c r="L42">
        <v>1346</v>
      </c>
      <c r="N42">
        <v>1009</v>
      </c>
      <c r="O42" t="s">
        <v>194</v>
      </c>
      <c r="P42" t="s">
        <v>194</v>
      </c>
      <c r="Q42">
        <v>1</v>
      </c>
      <c r="W42">
        <v>0</v>
      </c>
      <c r="X42">
        <v>1052716416</v>
      </c>
      <c r="Y42">
        <v>1</v>
      </c>
      <c r="AA42">
        <v>1.82</v>
      </c>
      <c r="AB42">
        <v>0</v>
      </c>
      <c r="AC42">
        <v>0</v>
      </c>
      <c r="AD42">
        <v>0</v>
      </c>
      <c r="AE42">
        <v>1.82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1</v>
      </c>
      <c r="AV42">
        <v>0</v>
      </c>
      <c r="AW42">
        <v>2</v>
      </c>
      <c r="AX42">
        <v>55463712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Y42*Source!I78</f>
        <v>1.733</v>
      </c>
      <c r="CY42">
        <f t="shared" si="5"/>
        <v>1.82</v>
      </c>
      <c r="CZ42">
        <f t="shared" si="6"/>
        <v>1.82</v>
      </c>
      <c r="DA42">
        <f t="shared" si="7"/>
        <v>1</v>
      </c>
      <c r="DB42">
        <f t="shared" si="8"/>
        <v>1.82</v>
      </c>
      <c r="DC42">
        <f t="shared" si="9"/>
        <v>0</v>
      </c>
    </row>
    <row r="43" spans="1:107" ht="12.75">
      <c r="A43">
        <f>ROW(Source!A78)</f>
        <v>78</v>
      </c>
      <c r="B43">
        <v>55463411</v>
      </c>
      <c r="C43">
        <v>55463687</v>
      </c>
      <c r="D43">
        <v>53647879</v>
      </c>
      <c r="E43">
        <v>1</v>
      </c>
      <c r="F43">
        <v>1</v>
      </c>
      <c r="G43">
        <v>1</v>
      </c>
      <c r="H43">
        <v>3</v>
      </c>
      <c r="I43" t="s">
        <v>158</v>
      </c>
      <c r="J43" t="s">
        <v>161</v>
      </c>
      <c r="K43" t="s">
        <v>159</v>
      </c>
      <c r="L43">
        <v>1339</v>
      </c>
      <c r="N43">
        <v>1007</v>
      </c>
      <c r="O43" t="s">
        <v>160</v>
      </c>
      <c r="P43" t="s">
        <v>160</v>
      </c>
      <c r="Q43">
        <v>1</v>
      </c>
      <c r="W43">
        <v>1</v>
      </c>
      <c r="X43">
        <v>461598558</v>
      </c>
      <c r="Y43">
        <v>-0.31</v>
      </c>
      <c r="AA43">
        <v>519.8</v>
      </c>
      <c r="AB43">
        <v>0</v>
      </c>
      <c r="AC43">
        <v>0</v>
      </c>
      <c r="AD43">
        <v>0</v>
      </c>
      <c r="AE43">
        <v>519.8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-0.31</v>
      </c>
      <c r="AV43">
        <v>0</v>
      </c>
      <c r="AW43">
        <v>2</v>
      </c>
      <c r="AX43">
        <v>55463713</v>
      </c>
      <c r="AY43">
        <v>1</v>
      </c>
      <c r="AZ43">
        <v>6144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Y43*Source!I78</f>
        <v>-0.53723</v>
      </c>
      <c r="CY43">
        <f t="shared" si="5"/>
        <v>519.8</v>
      </c>
      <c r="CZ43">
        <f t="shared" si="6"/>
        <v>519.8</v>
      </c>
      <c r="DA43">
        <f t="shared" si="7"/>
        <v>1</v>
      </c>
      <c r="DB43">
        <f t="shared" si="8"/>
        <v>-161.14</v>
      </c>
      <c r="DC43">
        <f t="shared" si="9"/>
        <v>0</v>
      </c>
    </row>
    <row r="44" spans="1:107" ht="12.75">
      <c r="A44">
        <f>ROW(Source!A78)</f>
        <v>78</v>
      </c>
      <c r="B44">
        <v>55463411</v>
      </c>
      <c r="C44">
        <v>55463687</v>
      </c>
      <c r="D44">
        <v>53668634</v>
      </c>
      <c r="E44">
        <v>1</v>
      </c>
      <c r="F44">
        <v>1</v>
      </c>
      <c r="G44">
        <v>1</v>
      </c>
      <c r="H44">
        <v>3</v>
      </c>
      <c r="I44" t="s">
        <v>163</v>
      </c>
      <c r="J44" t="s">
        <v>166</v>
      </c>
      <c r="K44" t="s">
        <v>164</v>
      </c>
      <c r="L44">
        <v>1327</v>
      </c>
      <c r="N44">
        <v>1005</v>
      </c>
      <c r="O44" t="s">
        <v>165</v>
      </c>
      <c r="P44" t="s">
        <v>165</v>
      </c>
      <c r="Q44">
        <v>1</v>
      </c>
      <c r="W44">
        <v>1</v>
      </c>
      <c r="X44">
        <v>1282098800</v>
      </c>
      <c r="Y44">
        <v>-112</v>
      </c>
      <c r="AA44">
        <v>6.2</v>
      </c>
      <c r="AB44">
        <v>0</v>
      </c>
      <c r="AC44">
        <v>0</v>
      </c>
      <c r="AD44">
        <v>0</v>
      </c>
      <c r="AE44">
        <v>6.2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-112</v>
      </c>
      <c r="AV44">
        <v>0</v>
      </c>
      <c r="AW44">
        <v>2</v>
      </c>
      <c r="AX44">
        <v>55463714</v>
      </c>
      <c r="AY44">
        <v>1</v>
      </c>
      <c r="AZ44">
        <v>6144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Y44*Source!I78</f>
        <v>-194.096</v>
      </c>
      <c r="CY44">
        <f t="shared" si="5"/>
        <v>6.2</v>
      </c>
      <c r="CZ44">
        <f t="shared" si="6"/>
        <v>6.2</v>
      </c>
      <c r="DA44">
        <f t="shared" si="7"/>
        <v>1</v>
      </c>
      <c r="DB44">
        <f t="shared" si="8"/>
        <v>-694.4</v>
      </c>
      <c r="DC44">
        <f t="shared" si="9"/>
        <v>0</v>
      </c>
    </row>
    <row r="45" spans="1:107" ht="12.75">
      <c r="A45">
        <f>ROW(Source!A78)</f>
        <v>78</v>
      </c>
      <c r="B45">
        <v>55463411</v>
      </c>
      <c r="C45">
        <v>55463687</v>
      </c>
      <c r="D45">
        <v>53673335</v>
      </c>
      <c r="E45">
        <v>1</v>
      </c>
      <c r="F45">
        <v>1</v>
      </c>
      <c r="G45">
        <v>1</v>
      </c>
      <c r="H45">
        <v>3</v>
      </c>
      <c r="I45" t="s">
        <v>168</v>
      </c>
      <c r="J45" t="s">
        <v>170</v>
      </c>
      <c r="K45" t="s">
        <v>169</v>
      </c>
      <c r="L45">
        <v>1348</v>
      </c>
      <c r="N45">
        <v>1009</v>
      </c>
      <c r="O45" t="s">
        <v>36</v>
      </c>
      <c r="P45" t="s">
        <v>36</v>
      </c>
      <c r="Q45">
        <v>1000</v>
      </c>
      <c r="W45">
        <v>1</v>
      </c>
      <c r="X45">
        <v>-1414927724</v>
      </c>
      <c r="Y45">
        <v>-0.006</v>
      </c>
      <c r="AA45">
        <v>49244</v>
      </c>
      <c r="AB45">
        <v>0</v>
      </c>
      <c r="AC45">
        <v>0</v>
      </c>
      <c r="AD45">
        <v>0</v>
      </c>
      <c r="AE45">
        <v>49244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-0.006</v>
      </c>
      <c r="AV45">
        <v>0</v>
      </c>
      <c r="AW45">
        <v>2</v>
      </c>
      <c r="AX45">
        <v>55463715</v>
      </c>
      <c r="AY45">
        <v>1</v>
      </c>
      <c r="AZ45">
        <v>6144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Y45*Source!I78</f>
        <v>-0.010398000000000001</v>
      </c>
      <c r="CY45">
        <f t="shared" si="5"/>
        <v>49244</v>
      </c>
      <c r="CZ45">
        <f t="shared" si="6"/>
        <v>49244</v>
      </c>
      <c r="DA45">
        <f t="shared" si="7"/>
        <v>1</v>
      </c>
      <c r="DB45">
        <f t="shared" si="8"/>
        <v>-295.46</v>
      </c>
      <c r="DC45">
        <f t="shared" si="9"/>
        <v>0</v>
      </c>
    </row>
    <row r="46" spans="1:107" ht="12.75">
      <c r="A46">
        <f>ROW(Source!A78)</f>
        <v>78</v>
      </c>
      <c r="B46">
        <v>55463411</v>
      </c>
      <c r="C46">
        <v>55463687</v>
      </c>
      <c r="D46">
        <v>53674047</v>
      </c>
      <c r="E46">
        <v>1</v>
      </c>
      <c r="F46">
        <v>1</v>
      </c>
      <c r="G46">
        <v>1</v>
      </c>
      <c r="H46">
        <v>3</v>
      </c>
      <c r="I46" t="s">
        <v>172</v>
      </c>
      <c r="J46" t="s">
        <v>174</v>
      </c>
      <c r="K46" t="s">
        <v>173</v>
      </c>
      <c r="L46">
        <v>1348</v>
      </c>
      <c r="N46">
        <v>1009</v>
      </c>
      <c r="O46" t="s">
        <v>36</v>
      </c>
      <c r="P46" t="s">
        <v>36</v>
      </c>
      <c r="Q46">
        <v>1000</v>
      </c>
      <c r="W46">
        <v>1</v>
      </c>
      <c r="X46">
        <v>-1728016612</v>
      </c>
      <c r="Y46">
        <v>-0.05</v>
      </c>
      <c r="AA46">
        <v>9073.9</v>
      </c>
      <c r="AB46">
        <v>0</v>
      </c>
      <c r="AC46">
        <v>0</v>
      </c>
      <c r="AD46">
        <v>0</v>
      </c>
      <c r="AE46">
        <v>9073.9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-0.05</v>
      </c>
      <c r="AV46">
        <v>0</v>
      </c>
      <c r="AW46">
        <v>2</v>
      </c>
      <c r="AX46">
        <v>55463716</v>
      </c>
      <c r="AY46">
        <v>1</v>
      </c>
      <c r="AZ46">
        <v>6144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Y46*Source!I78</f>
        <v>-0.08665</v>
      </c>
      <c r="CY46">
        <f t="shared" si="5"/>
        <v>9073.9</v>
      </c>
      <c r="CZ46">
        <f t="shared" si="6"/>
        <v>9073.9</v>
      </c>
      <c r="DA46">
        <f t="shared" si="7"/>
        <v>1</v>
      </c>
      <c r="DB46">
        <f t="shared" si="8"/>
        <v>-453.7</v>
      </c>
      <c r="DC46">
        <f t="shared" si="9"/>
        <v>0</v>
      </c>
    </row>
    <row r="47" spans="1:107" ht="12.75">
      <c r="A47">
        <f>ROW(Source!A78)</f>
        <v>78</v>
      </c>
      <c r="B47">
        <v>55463411</v>
      </c>
      <c r="C47">
        <v>55463687</v>
      </c>
      <c r="D47">
        <v>53674722</v>
      </c>
      <c r="E47">
        <v>1</v>
      </c>
      <c r="F47">
        <v>1</v>
      </c>
      <c r="G47">
        <v>1</v>
      </c>
      <c r="H47">
        <v>3</v>
      </c>
      <c r="I47" t="s">
        <v>176</v>
      </c>
      <c r="J47" t="s">
        <v>178</v>
      </c>
      <c r="K47" t="s">
        <v>177</v>
      </c>
      <c r="L47">
        <v>1348</v>
      </c>
      <c r="N47">
        <v>1009</v>
      </c>
      <c r="O47" t="s">
        <v>36</v>
      </c>
      <c r="P47" t="s">
        <v>36</v>
      </c>
      <c r="Q47">
        <v>1000</v>
      </c>
      <c r="W47">
        <v>1</v>
      </c>
      <c r="X47">
        <v>1186343801</v>
      </c>
      <c r="Y47">
        <v>-0.0011</v>
      </c>
      <c r="AA47">
        <v>7716.7</v>
      </c>
      <c r="AB47">
        <v>0</v>
      </c>
      <c r="AC47">
        <v>0</v>
      </c>
      <c r="AD47">
        <v>0</v>
      </c>
      <c r="AE47">
        <v>7716.7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-0.0011</v>
      </c>
      <c r="AV47">
        <v>0</v>
      </c>
      <c r="AW47">
        <v>2</v>
      </c>
      <c r="AX47">
        <v>55463717</v>
      </c>
      <c r="AY47">
        <v>1</v>
      </c>
      <c r="AZ47">
        <v>6144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Y47*Source!I78</f>
        <v>-0.0019063000000000003</v>
      </c>
      <c r="CY47">
        <f t="shared" si="5"/>
        <v>7716.7</v>
      </c>
      <c r="CZ47">
        <f t="shared" si="6"/>
        <v>7716.7</v>
      </c>
      <c r="DA47">
        <f t="shared" si="7"/>
        <v>1</v>
      </c>
      <c r="DB47">
        <f t="shared" si="8"/>
        <v>-8.49</v>
      </c>
      <c r="DC47">
        <f t="shared" si="9"/>
        <v>0</v>
      </c>
    </row>
    <row r="48" spans="1:107" ht="12.75">
      <c r="A48">
        <f>ROW(Source!A79)</f>
        <v>79</v>
      </c>
      <c r="B48">
        <v>55463412</v>
      </c>
      <c r="C48">
        <v>55463687</v>
      </c>
      <c r="D48">
        <v>53630125</v>
      </c>
      <c r="E48">
        <v>70</v>
      </c>
      <c r="F48">
        <v>1</v>
      </c>
      <c r="G48">
        <v>1</v>
      </c>
      <c r="H48">
        <v>1</v>
      </c>
      <c r="I48" t="s">
        <v>388</v>
      </c>
      <c r="K48" t="s">
        <v>389</v>
      </c>
      <c r="L48">
        <v>1191</v>
      </c>
      <c r="N48">
        <v>1013</v>
      </c>
      <c r="O48" t="s">
        <v>357</v>
      </c>
      <c r="P48" t="s">
        <v>357</v>
      </c>
      <c r="Q48">
        <v>1</v>
      </c>
      <c r="W48">
        <v>0</v>
      </c>
      <c r="X48">
        <v>-632984526</v>
      </c>
      <c r="Y48">
        <v>158.7</v>
      </c>
      <c r="AA48">
        <v>0</v>
      </c>
      <c r="AB48">
        <v>0</v>
      </c>
      <c r="AC48">
        <v>0</v>
      </c>
      <c r="AD48">
        <v>372.36</v>
      </c>
      <c r="AE48">
        <v>0</v>
      </c>
      <c r="AF48">
        <v>0</v>
      </c>
      <c r="AG48">
        <v>0</v>
      </c>
      <c r="AH48">
        <v>10.21</v>
      </c>
      <c r="AI48">
        <v>1</v>
      </c>
      <c r="AJ48">
        <v>1</v>
      </c>
      <c r="AK48">
        <v>1</v>
      </c>
      <c r="AL48">
        <v>36.47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138</v>
      </c>
      <c r="AU48" t="s">
        <v>57</v>
      </c>
      <c r="AV48">
        <v>1</v>
      </c>
      <c r="AW48">
        <v>2</v>
      </c>
      <c r="AX48">
        <v>55463703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Y48*Source!I79</f>
        <v>275.0271</v>
      </c>
      <c r="CY48">
        <f>AD48</f>
        <v>372.36</v>
      </c>
      <c r="CZ48">
        <f>AH48</f>
        <v>10.21</v>
      </c>
      <c r="DA48">
        <f>AL48</f>
        <v>36.47</v>
      </c>
      <c r="DB48">
        <f>ROUND((ROUND(AT48*CZ48,2)*ROUND(1.15,7)),2)</f>
        <v>1620.33</v>
      </c>
      <c r="DC48">
        <f>ROUND((ROUND(AT48*AG48,2)*ROUND(1.15,7)),2)</f>
        <v>0</v>
      </c>
    </row>
    <row r="49" spans="1:107" ht="12.75">
      <c r="A49">
        <f>ROW(Source!A79)</f>
        <v>79</v>
      </c>
      <c r="B49">
        <v>55463412</v>
      </c>
      <c r="C49">
        <v>55463687</v>
      </c>
      <c r="D49">
        <v>53630257</v>
      </c>
      <c r="E49">
        <v>70</v>
      </c>
      <c r="F49">
        <v>1</v>
      </c>
      <c r="G49">
        <v>1</v>
      </c>
      <c r="H49">
        <v>1</v>
      </c>
      <c r="I49" t="s">
        <v>358</v>
      </c>
      <c r="K49" t="s">
        <v>359</v>
      </c>
      <c r="L49">
        <v>1191</v>
      </c>
      <c r="N49">
        <v>1013</v>
      </c>
      <c r="O49" t="s">
        <v>357</v>
      </c>
      <c r="P49" t="s">
        <v>357</v>
      </c>
      <c r="Q49">
        <v>1</v>
      </c>
      <c r="W49">
        <v>0</v>
      </c>
      <c r="X49">
        <v>-1417349443</v>
      </c>
      <c r="Y49">
        <v>6.45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36.47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5.16</v>
      </c>
      <c r="AU49" t="s">
        <v>56</v>
      </c>
      <c r="AV49">
        <v>2</v>
      </c>
      <c r="AW49">
        <v>2</v>
      </c>
      <c r="AX49">
        <v>55463704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Y49*Source!I79</f>
        <v>11.177850000000001</v>
      </c>
      <c r="CY49">
        <f>AD49</f>
        <v>0</v>
      </c>
      <c r="CZ49">
        <f>AH49</f>
        <v>0</v>
      </c>
      <c r="DA49">
        <f>AL49</f>
        <v>1</v>
      </c>
      <c r="DB49">
        <f>ROUND((ROUND(AT49*CZ49,2)*ROUND(1.25,7)),2)</f>
        <v>0</v>
      </c>
      <c r="DC49">
        <f>ROUND((ROUND(AT49*AG49,2)*ROUND(1.25,7)),2)</f>
        <v>0</v>
      </c>
    </row>
    <row r="50" spans="1:107" ht="12.75">
      <c r="A50">
        <f>ROW(Source!A79)</f>
        <v>79</v>
      </c>
      <c r="B50">
        <v>55463412</v>
      </c>
      <c r="C50">
        <v>55463687</v>
      </c>
      <c r="D50">
        <v>53792191</v>
      </c>
      <c r="E50">
        <v>1</v>
      </c>
      <c r="F50">
        <v>1</v>
      </c>
      <c r="G50">
        <v>1</v>
      </c>
      <c r="H50">
        <v>2</v>
      </c>
      <c r="I50" t="s">
        <v>360</v>
      </c>
      <c r="J50" t="s">
        <v>361</v>
      </c>
      <c r="K50" t="s">
        <v>362</v>
      </c>
      <c r="L50">
        <v>1367</v>
      </c>
      <c r="N50">
        <v>1011</v>
      </c>
      <c r="O50" t="s">
        <v>363</v>
      </c>
      <c r="P50" t="s">
        <v>363</v>
      </c>
      <c r="Q50">
        <v>1</v>
      </c>
      <c r="W50">
        <v>0</v>
      </c>
      <c r="X50">
        <v>1232162608</v>
      </c>
      <c r="Y50">
        <v>0.1375</v>
      </c>
      <c r="AA50">
        <v>0</v>
      </c>
      <c r="AB50">
        <v>405.44</v>
      </c>
      <c r="AC50">
        <v>492.35</v>
      </c>
      <c r="AD50">
        <v>0</v>
      </c>
      <c r="AE50">
        <v>0</v>
      </c>
      <c r="AF50">
        <v>31.26</v>
      </c>
      <c r="AG50">
        <v>13.5</v>
      </c>
      <c r="AH50">
        <v>0</v>
      </c>
      <c r="AI50">
        <v>1</v>
      </c>
      <c r="AJ50">
        <v>12.97</v>
      </c>
      <c r="AK50">
        <v>36.47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0.11</v>
      </c>
      <c r="AU50" t="s">
        <v>56</v>
      </c>
      <c r="AV50">
        <v>0</v>
      </c>
      <c r="AW50">
        <v>2</v>
      </c>
      <c r="AX50">
        <v>55463705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Y50*Source!I79</f>
        <v>0.23828750000000004</v>
      </c>
      <c r="CY50">
        <f>AB50</f>
        <v>405.44</v>
      </c>
      <c r="CZ50">
        <f>AF50</f>
        <v>31.26</v>
      </c>
      <c r="DA50">
        <f>AJ50</f>
        <v>12.97</v>
      </c>
      <c r="DB50">
        <f>ROUND((ROUND(AT50*CZ50,2)*ROUND(1.25,7)),2)</f>
        <v>4.3</v>
      </c>
      <c r="DC50">
        <f>ROUND((ROUND(AT50*AG50,2)*ROUND(1.25,7)),2)</f>
        <v>1.86</v>
      </c>
    </row>
    <row r="51" spans="1:107" ht="12.75">
      <c r="A51">
        <f>ROW(Source!A79)</f>
        <v>79</v>
      </c>
      <c r="B51">
        <v>55463412</v>
      </c>
      <c r="C51">
        <v>55463687</v>
      </c>
      <c r="D51">
        <v>53792927</v>
      </c>
      <c r="E51">
        <v>1</v>
      </c>
      <c r="F51">
        <v>1</v>
      </c>
      <c r="G51">
        <v>1</v>
      </c>
      <c r="H51">
        <v>2</v>
      </c>
      <c r="I51" t="s">
        <v>390</v>
      </c>
      <c r="J51" t="s">
        <v>391</v>
      </c>
      <c r="K51" t="s">
        <v>392</v>
      </c>
      <c r="L51">
        <v>1367</v>
      </c>
      <c r="N51">
        <v>1011</v>
      </c>
      <c r="O51" t="s">
        <v>363</v>
      </c>
      <c r="P51" t="s">
        <v>363</v>
      </c>
      <c r="Q51">
        <v>1</v>
      </c>
      <c r="W51">
        <v>0</v>
      </c>
      <c r="X51">
        <v>509054691</v>
      </c>
      <c r="Y51">
        <v>0.3125</v>
      </c>
      <c r="AA51">
        <v>0</v>
      </c>
      <c r="AB51">
        <v>852.26</v>
      </c>
      <c r="AC51">
        <v>423.05</v>
      </c>
      <c r="AD51">
        <v>0</v>
      </c>
      <c r="AE51">
        <v>0</v>
      </c>
      <c r="AF51">
        <v>65.71</v>
      </c>
      <c r="AG51">
        <v>11.6</v>
      </c>
      <c r="AH51">
        <v>0</v>
      </c>
      <c r="AI51">
        <v>1</v>
      </c>
      <c r="AJ51">
        <v>12.97</v>
      </c>
      <c r="AK51">
        <v>36.47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0.25</v>
      </c>
      <c r="AU51" t="s">
        <v>56</v>
      </c>
      <c r="AV51">
        <v>0</v>
      </c>
      <c r="AW51">
        <v>2</v>
      </c>
      <c r="AX51">
        <v>55463706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Y51*Source!I79</f>
        <v>0.5415625000000001</v>
      </c>
      <c r="CY51">
        <f>AB51</f>
        <v>852.26</v>
      </c>
      <c r="CZ51">
        <f>AF51</f>
        <v>65.71</v>
      </c>
      <c r="DA51">
        <f>AJ51</f>
        <v>12.97</v>
      </c>
      <c r="DB51">
        <f>ROUND((ROUND(AT51*CZ51,2)*ROUND(1.25,7)),2)</f>
        <v>20.54</v>
      </c>
      <c r="DC51">
        <f>ROUND((ROUND(AT51*AG51,2)*ROUND(1.25,7)),2)</f>
        <v>3.63</v>
      </c>
    </row>
    <row r="52" spans="1:107" ht="12.75">
      <c r="A52">
        <f>ROW(Source!A79)</f>
        <v>79</v>
      </c>
      <c r="B52">
        <v>55463412</v>
      </c>
      <c r="C52">
        <v>55463687</v>
      </c>
      <c r="D52">
        <v>53793767</v>
      </c>
      <c r="E52">
        <v>1</v>
      </c>
      <c r="F52">
        <v>1</v>
      </c>
      <c r="G52">
        <v>1</v>
      </c>
      <c r="H52">
        <v>2</v>
      </c>
      <c r="I52" t="s">
        <v>393</v>
      </c>
      <c r="J52" t="s">
        <v>394</v>
      </c>
      <c r="K52" t="s">
        <v>395</v>
      </c>
      <c r="L52">
        <v>1367</v>
      </c>
      <c r="N52">
        <v>1011</v>
      </c>
      <c r="O52" t="s">
        <v>363</v>
      </c>
      <c r="P52" t="s">
        <v>363</v>
      </c>
      <c r="Q52">
        <v>1</v>
      </c>
      <c r="W52">
        <v>0</v>
      </c>
      <c r="X52">
        <v>-128635177</v>
      </c>
      <c r="Y52">
        <v>3.125</v>
      </c>
      <c r="AA52">
        <v>0</v>
      </c>
      <c r="AB52">
        <v>35.02</v>
      </c>
      <c r="AC52">
        <v>0</v>
      </c>
      <c r="AD52">
        <v>0</v>
      </c>
      <c r="AE52">
        <v>0</v>
      </c>
      <c r="AF52">
        <v>2.7</v>
      </c>
      <c r="AG52">
        <v>0</v>
      </c>
      <c r="AH52">
        <v>0</v>
      </c>
      <c r="AI52">
        <v>1</v>
      </c>
      <c r="AJ52">
        <v>12.97</v>
      </c>
      <c r="AK52">
        <v>36.47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2.5</v>
      </c>
      <c r="AU52" t="s">
        <v>56</v>
      </c>
      <c r="AV52">
        <v>0</v>
      </c>
      <c r="AW52">
        <v>2</v>
      </c>
      <c r="AX52">
        <v>55463707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Y52*Source!I79</f>
        <v>5.415625</v>
      </c>
      <c r="CY52">
        <f>AB52</f>
        <v>35.02</v>
      </c>
      <c r="CZ52">
        <f>AF52</f>
        <v>2.7</v>
      </c>
      <c r="DA52">
        <f>AJ52</f>
        <v>12.97</v>
      </c>
      <c r="DB52">
        <f>ROUND((ROUND(AT52*CZ52,2)*ROUND(1.25,7)),2)</f>
        <v>8.44</v>
      </c>
      <c r="DC52">
        <f>ROUND((ROUND(AT52*AG52,2)*ROUND(1.25,7)),2)</f>
        <v>0</v>
      </c>
    </row>
    <row r="53" spans="1:107" ht="12.75">
      <c r="A53">
        <f>ROW(Source!A79)</f>
        <v>79</v>
      </c>
      <c r="B53">
        <v>55463412</v>
      </c>
      <c r="C53">
        <v>55463687</v>
      </c>
      <c r="D53">
        <v>53793782</v>
      </c>
      <c r="E53">
        <v>1</v>
      </c>
      <c r="F53">
        <v>1</v>
      </c>
      <c r="G53">
        <v>1</v>
      </c>
      <c r="H53">
        <v>2</v>
      </c>
      <c r="I53" t="s">
        <v>396</v>
      </c>
      <c r="J53" t="s">
        <v>397</v>
      </c>
      <c r="K53" t="s">
        <v>398</v>
      </c>
      <c r="L53">
        <v>1367</v>
      </c>
      <c r="N53">
        <v>1011</v>
      </c>
      <c r="O53" t="s">
        <v>363</v>
      </c>
      <c r="P53" t="s">
        <v>363</v>
      </c>
      <c r="Q53">
        <v>1</v>
      </c>
      <c r="W53">
        <v>0</v>
      </c>
      <c r="X53">
        <v>-1692607367</v>
      </c>
      <c r="Y53">
        <v>6</v>
      </c>
      <c r="AA53">
        <v>0</v>
      </c>
      <c r="AB53">
        <v>142.15</v>
      </c>
      <c r="AC53">
        <v>366.89</v>
      </c>
      <c r="AD53">
        <v>0</v>
      </c>
      <c r="AE53">
        <v>0</v>
      </c>
      <c r="AF53">
        <v>10.96</v>
      </c>
      <c r="AG53">
        <v>10.06</v>
      </c>
      <c r="AH53">
        <v>0</v>
      </c>
      <c r="AI53">
        <v>1</v>
      </c>
      <c r="AJ53">
        <v>12.97</v>
      </c>
      <c r="AK53">
        <v>36.47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4.8</v>
      </c>
      <c r="AU53" t="s">
        <v>56</v>
      </c>
      <c r="AV53">
        <v>0</v>
      </c>
      <c r="AW53">
        <v>2</v>
      </c>
      <c r="AX53">
        <v>55463708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Y53*Source!I79</f>
        <v>10.398</v>
      </c>
      <c r="CY53">
        <f>AB53</f>
        <v>142.15</v>
      </c>
      <c r="CZ53">
        <f>AF53</f>
        <v>10.96</v>
      </c>
      <c r="DA53">
        <f>AJ53</f>
        <v>12.97</v>
      </c>
      <c r="DB53">
        <f>ROUND((ROUND(AT53*CZ53,2)*ROUND(1.25,7)),2)</f>
        <v>65.76</v>
      </c>
      <c r="DC53">
        <f>ROUND((ROUND(AT53*AG53,2)*ROUND(1.25,7)),2)</f>
        <v>60.36</v>
      </c>
    </row>
    <row r="54" spans="1:107" ht="12.75">
      <c r="A54">
        <f>ROW(Source!A79)</f>
        <v>79</v>
      </c>
      <c r="B54">
        <v>55463412</v>
      </c>
      <c r="C54">
        <v>55463687</v>
      </c>
      <c r="D54">
        <v>53640736</v>
      </c>
      <c r="E54">
        <v>1</v>
      </c>
      <c r="F54">
        <v>1</v>
      </c>
      <c r="G54">
        <v>1</v>
      </c>
      <c r="H54">
        <v>3</v>
      </c>
      <c r="I54" t="s">
        <v>150</v>
      </c>
      <c r="J54" t="s">
        <v>152</v>
      </c>
      <c r="K54" t="s">
        <v>151</v>
      </c>
      <c r="L54">
        <v>1348</v>
      </c>
      <c r="N54">
        <v>1009</v>
      </c>
      <c r="O54" t="s">
        <v>36</v>
      </c>
      <c r="P54" t="s">
        <v>36</v>
      </c>
      <c r="Q54">
        <v>1000</v>
      </c>
      <c r="W54">
        <v>1</v>
      </c>
      <c r="X54">
        <v>711732603</v>
      </c>
      <c r="Y54">
        <v>-0.116</v>
      </c>
      <c r="AA54">
        <v>13605.9</v>
      </c>
      <c r="AB54">
        <v>0</v>
      </c>
      <c r="AC54">
        <v>0</v>
      </c>
      <c r="AD54">
        <v>0</v>
      </c>
      <c r="AE54">
        <v>1995</v>
      </c>
      <c r="AF54">
        <v>0</v>
      </c>
      <c r="AG54">
        <v>0</v>
      </c>
      <c r="AH54">
        <v>0</v>
      </c>
      <c r="AI54">
        <v>6.82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-0.116</v>
      </c>
      <c r="AV54">
        <v>0</v>
      </c>
      <c r="AW54">
        <v>2</v>
      </c>
      <c r="AX54">
        <v>55463709</v>
      </c>
      <c r="AY54">
        <v>1</v>
      </c>
      <c r="AZ54">
        <v>6144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Y54*Source!I79</f>
        <v>-0.201028</v>
      </c>
      <c r="CY54">
        <f aca="true" t="shared" si="10" ref="CY54:CY62">AA54</f>
        <v>13605.9</v>
      </c>
      <c r="CZ54">
        <f aca="true" t="shared" si="11" ref="CZ54:CZ62">AE54</f>
        <v>1995</v>
      </c>
      <c r="DA54">
        <f aca="true" t="shared" si="12" ref="DA54:DA62">AI54</f>
        <v>6.82</v>
      </c>
      <c r="DB54">
        <f aca="true" t="shared" si="13" ref="DB54:DB62">ROUND(ROUND(AT54*CZ54,2),2)</f>
        <v>-231.42</v>
      </c>
      <c r="DC54">
        <f aca="true" t="shared" si="14" ref="DC54:DC62">ROUND(ROUND(AT54*AG54,2),2)</f>
        <v>0</v>
      </c>
    </row>
    <row r="55" spans="1:107" ht="12.75">
      <c r="A55">
        <f>ROW(Source!A79)</f>
        <v>79</v>
      </c>
      <c r="B55">
        <v>55463412</v>
      </c>
      <c r="C55">
        <v>55463687</v>
      </c>
      <c r="D55">
        <v>53640833</v>
      </c>
      <c r="E55">
        <v>1</v>
      </c>
      <c r="F55">
        <v>1</v>
      </c>
      <c r="G55">
        <v>1</v>
      </c>
      <c r="H55">
        <v>3</v>
      </c>
      <c r="I55" t="s">
        <v>154</v>
      </c>
      <c r="J55" t="s">
        <v>156</v>
      </c>
      <c r="K55" t="s">
        <v>155</v>
      </c>
      <c r="L55">
        <v>1348</v>
      </c>
      <c r="N55">
        <v>1009</v>
      </c>
      <c r="O55" t="s">
        <v>36</v>
      </c>
      <c r="P55" t="s">
        <v>36</v>
      </c>
      <c r="Q55">
        <v>1000</v>
      </c>
      <c r="W55">
        <v>1</v>
      </c>
      <c r="X55">
        <v>1314668235</v>
      </c>
      <c r="Y55">
        <v>-0.047</v>
      </c>
      <c r="AA55">
        <v>30610.89</v>
      </c>
      <c r="AB55">
        <v>0</v>
      </c>
      <c r="AC55">
        <v>0</v>
      </c>
      <c r="AD55">
        <v>0</v>
      </c>
      <c r="AE55">
        <v>4488.4</v>
      </c>
      <c r="AF55">
        <v>0</v>
      </c>
      <c r="AG55">
        <v>0</v>
      </c>
      <c r="AH55">
        <v>0</v>
      </c>
      <c r="AI55">
        <v>6.82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-0.047</v>
      </c>
      <c r="AV55">
        <v>0</v>
      </c>
      <c r="AW55">
        <v>2</v>
      </c>
      <c r="AX55">
        <v>55463710</v>
      </c>
      <c r="AY55">
        <v>1</v>
      </c>
      <c r="AZ55">
        <v>6144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Y55*Source!I79</f>
        <v>-0.08145100000000001</v>
      </c>
      <c r="CY55">
        <f t="shared" si="10"/>
        <v>30610.89</v>
      </c>
      <c r="CZ55">
        <f t="shared" si="11"/>
        <v>4488.4</v>
      </c>
      <c r="DA55">
        <f t="shared" si="12"/>
        <v>6.82</v>
      </c>
      <c r="DB55">
        <f t="shared" si="13"/>
        <v>-210.95</v>
      </c>
      <c r="DC55">
        <f t="shared" si="14"/>
        <v>0</v>
      </c>
    </row>
    <row r="56" spans="1:107" ht="12.75">
      <c r="A56">
        <f>ROW(Source!A79)</f>
        <v>79</v>
      </c>
      <c r="B56">
        <v>55463412</v>
      </c>
      <c r="C56">
        <v>55463687</v>
      </c>
      <c r="D56">
        <v>53643036</v>
      </c>
      <c r="E56">
        <v>1</v>
      </c>
      <c r="F56">
        <v>1</v>
      </c>
      <c r="G56">
        <v>1</v>
      </c>
      <c r="H56">
        <v>3</v>
      </c>
      <c r="I56" t="s">
        <v>399</v>
      </c>
      <c r="J56" t="s">
        <v>400</v>
      </c>
      <c r="K56" t="s">
        <v>401</v>
      </c>
      <c r="L56">
        <v>1327</v>
      </c>
      <c r="N56">
        <v>1005</v>
      </c>
      <c r="O56" t="s">
        <v>165</v>
      </c>
      <c r="P56" t="s">
        <v>165</v>
      </c>
      <c r="Q56">
        <v>1</v>
      </c>
      <c r="W56">
        <v>0</v>
      </c>
      <c r="X56">
        <v>587435244</v>
      </c>
      <c r="Y56">
        <v>112.42</v>
      </c>
      <c r="AA56">
        <v>83.14</v>
      </c>
      <c r="AB56">
        <v>0</v>
      </c>
      <c r="AC56">
        <v>0</v>
      </c>
      <c r="AD56">
        <v>0</v>
      </c>
      <c r="AE56">
        <v>12.19</v>
      </c>
      <c r="AF56">
        <v>0</v>
      </c>
      <c r="AG56">
        <v>0</v>
      </c>
      <c r="AH56">
        <v>0</v>
      </c>
      <c r="AI56">
        <v>6.82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112.42</v>
      </c>
      <c r="AV56">
        <v>0</v>
      </c>
      <c r="AW56">
        <v>2</v>
      </c>
      <c r="AX56">
        <v>55463711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Y56*Source!I79</f>
        <v>194.82386000000002</v>
      </c>
      <c r="CY56">
        <f t="shared" si="10"/>
        <v>83.14</v>
      </c>
      <c r="CZ56">
        <f t="shared" si="11"/>
        <v>12.19</v>
      </c>
      <c r="DA56">
        <f t="shared" si="12"/>
        <v>6.82</v>
      </c>
      <c r="DB56">
        <f t="shared" si="13"/>
        <v>1370.4</v>
      </c>
      <c r="DC56">
        <f t="shared" si="14"/>
        <v>0</v>
      </c>
    </row>
    <row r="57" spans="1:107" ht="12.75">
      <c r="A57">
        <f>ROW(Source!A79)</f>
        <v>79</v>
      </c>
      <c r="B57">
        <v>55463412</v>
      </c>
      <c r="C57">
        <v>55463687</v>
      </c>
      <c r="D57">
        <v>53646032</v>
      </c>
      <c r="E57">
        <v>1</v>
      </c>
      <c r="F57">
        <v>1</v>
      </c>
      <c r="G57">
        <v>1</v>
      </c>
      <c r="H57">
        <v>3</v>
      </c>
      <c r="I57" t="s">
        <v>402</v>
      </c>
      <c r="J57" t="s">
        <v>403</v>
      </c>
      <c r="K57" t="s">
        <v>404</v>
      </c>
      <c r="L57">
        <v>1346</v>
      </c>
      <c r="N57">
        <v>1009</v>
      </c>
      <c r="O57" t="s">
        <v>194</v>
      </c>
      <c r="P57" t="s">
        <v>194</v>
      </c>
      <c r="Q57">
        <v>1</v>
      </c>
      <c r="W57">
        <v>0</v>
      </c>
      <c r="X57">
        <v>1052716416</v>
      </c>
      <c r="Y57">
        <v>1</v>
      </c>
      <c r="AA57">
        <v>12.41</v>
      </c>
      <c r="AB57">
        <v>0</v>
      </c>
      <c r="AC57">
        <v>0</v>
      </c>
      <c r="AD57">
        <v>0</v>
      </c>
      <c r="AE57">
        <v>1.82</v>
      </c>
      <c r="AF57">
        <v>0</v>
      </c>
      <c r="AG57">
        <v>0</v>
      </c>
      <c r="AH57">
        <v>0</v>
      </c>
      <c r="AI57">
        <v>6.82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</v>
      </c>
      <c r="AV57">
        <v>0</v>
      </c>
      <c r="AW57">
        <v>2</v>
      </c>
      <c r="AX57">
        <v>55463712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Y57*Source!I79</f>
        <v>1.733</v>
      </c>
      <c r="CY57">
        <f t="shared" si="10"/>
        <v>12.41</v>
      </c>
      <c r="CZ57">
        <f t="shared" si="11"/>
        <v>1.82</v>
      </c>
      <c r="DA57">
        <f t="shared" si="12"/>
        <v>6.82</v>
      </c>
      <c r="DB57">
        <f t="shared" si="13"/>
        <v>1.82</v>
      </c>
      <c r="DC57">
        <f t="shared" si="14"/>
        <v>0</v>
      </c>
    </row>
    <row r="58" spans="1:107" ht="12.75">
      <c r="A58">
        <f>ROW(Source!A79)</f>
        <v>79</v>
      </c>
      <c r="B58">
        <v>55463412</v>
      </c>
      <c r="C58">
        <v>55463687</v>
      </c>
      <c r="D58">
        <v>53647879</v>
      </c>
      <c r="E58">
        <v>1</v>
      </c>
      <c r="F58">
        <v>1</v>
      </c>
      <c r="G58">
        <v>1</v>
      </c>
      <c r="H58">
        <v>3</v>
      </c>
      <c r="I58" t="s">
        <v>158</v>
      </c>
      <c r="J58" t="s">
        <v>161</v>
      </c>
      <c r="K58" t="s">
        <v>159</v>
      </c>
      <c r="L58">
        <v>1339</v>
      </c>
      <c r="N58">
        <v>1007</v>
      </c>
      <c r="O58" t="s">
        <v>160</v>
      </c>
      <c r="P58" t="s">
        <v>160</v>
      </c>
      <c r="Q58">
        <v>1</v>
      </c>
      <c r="W58">
        <v>1</v>
      </c>
      <c r="X58">
        <v>461598558</v>
      </c>
      <c r="Y58">
        <v>-0.31</v>
      </c>
      <c r="AA58">
        <v>3545.04</v>
      </c>
      <c r="AB58">
        <v>0</v>
      </c>
      <c r="AC58">
        <v>0</v>
      </c>
      <c r="AD58">
        <v>0</v>
      </c>
      <c r="AE58">
        <v>519.8</v>
      </c>
      <c r="AF58">
        <v>0</v>
      </c>
      <c r="AG58">
        <v>0</v>
      </c>
      <c r="AH58">
        <v>0</v>
      </c>
      <c r="AI58">
        <v>6.82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-0.31</v>
      </c>
      <c r="AV58">
        <v>0</v>
      </c>
      <c r="AW58">
        <v>2</v>
      </c>
      <c r="AX58">
        <v>55463713</v>
      </c>
      <c r="AY58">
        <v>1</v>
      </c>
      <c r="AZ58">
        <v>6144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Y58*Source!I79</f>
        <v>-0.53723</v>
      </c>
      <c r="CY58">
        <f t="shared" si="10"/>
        <v>3545.04</v>
      </c>
      <c r="CZ58">
        <f t="shared" si="11"/>
        <v>519.8</v>
      </c>
      <c r="DA58">
        <f t="shared" si="12"/>
        <v>6.82</v>
      </c>
      <c r="DB58">
        <f t="shared" si="13"/>
        <v>-161.14</v>
      </c>
      <c r="DC58">
        <f t="shared" si="14"/>
        <v>0</v>
      </c>
    </row>
    <row r="59" spans="1:107" ht="12.75">
      <c r="A59">
        <f>ROW(Source!A79)</f>
        <v>79</v>
      </c>
      <c r="B59">
        <v>55463412</v>
      </c>
      <c r="C59">
        <v>55463687</v>
      </c>
      <c r="D59">
        <v>53668634</v>
      </c>
      <c r="E59">
        <v>1</v>
      </c>
      <c r="F59">
        <v>1</v>
      </c>
      <c r="G59">
        <v>1</v>
      </c>
      <c r="H59">
        <v>3</v>
      </c>
      <c r="I59" t="s">
        <v>163</v>
      </c>
      <c r="J59" t="s">
        <v>166</v>
      </c>
      <c r="K59" t="s">
        <v>164</v>
      </c>
      <c r="L59">
        <v>1327</v>
      </c>
      <c r="N59">
        <v>1005</v>
      </c>
      <c r="O59" t="s">
        <v>165</v>
      </c>
      <c r="P59" t="s">
        <v>165</v>
      </c>
      <c r="Q59">
        <v>1</v>
      </c>
      <c r="W59">
        <v>1</v>
      </c>
      <c r="X59">
        <v>1282098800</v>
      </c>
      <c r="Y59">
        <v>-112</v>
      </c>
      <c r="AA59">
        <v>42.28</v>
      </c>
      <c r="AB59">
        <v>0</v>
      </c>
      <c r="AC59">
        <v>0</v>
      </c>
      <c r="AD59">
        <v>0</v>
      </c>
      <c r="AE59">
        <v>6.2</v>
      </c>
      <c r="AF59">
        <v>0</v>
      </c>
      <c r="AG59">
        <v>0</v>
      </c>
      <c r="AH59">
        <v>0</v>
      </c>
      <c r="AI59">
        <v>6.82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-112</v>
      </c>
      <c r="AV59">
        <v>0</v>
      </c>
      <c r="AW59">
        <v>2</v>
      </c>
      <c r="AX59">
        <v>55463714</v>
      </c>
      <c r="AY59">
        <v>1</v>
      </c>
      <c r="AZ59">
        <v>6144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Y59*Source!I79</f>
        <v>-194.096</v>
      </c>
      <c r="CY59">
        <f t="shared" si="10"/>
        <v>42.28</v>
      </c>
      <c r="CZ59">
        <f t="shared" si="11"/>
        <v>6.2</v>
      </c>
      <c r="DA59">
        <f t="shared" si="12"/>
        <v>6.82</v>
      </c>
      <c r="DB59">
        <f t="shared" si="13"/>
        <v>-694.4</v>
      </c>
      <c r="DC59">
        <f t="shared" si="14"/>
        <v>0</v>
      </c>
    </row>
    <row r="60" spans="1:107" ht="12.75">
      <c r="A60">
        <f>ROW(Source!A79)</f>
        <v>79</v>
      </c>
      <c r="B60">
        <v>55463412</v>
      </c>
      <c r="C60">
        <v>55463687</v>
      </c>
      <c r="D60">
        <v>53673335</v>
      </c>
      <c r="E60">
        <v>1</v>
      </c>
      <c r="F60">
        <v>1</v>
      </c>
      <c r="G60">
        <v>1</v>
      </c>
      <c r="H60">
        <v>3</v>
      </c>
      <c r="I60" t="s">
        <v>168</v>
      </c>
      <c r="J60" t="s">
        <v>170</v>
      </c>
      <c r="K60" t="s">
        <v>169</v>
      </c>
      <c r="L60">
        <v>1348</v>
      </c>
      <c r="N60">
        <v>1009</v>
      </c>
      <c r="O60" t="s">
        <v>36</v>
      </c>
      <c r="P60" t="s">
        <v>36</v>
      </c>
      <c r="Q60">
        <v>1000</v>
      </c>
      <c r="W60">
        <v>1</v>
      </c>
      <c r="X60">
        <v>-1414927724</v>
      </c>
      <c r="Y60">
        <v>-0.006</v>
      </c>
      <c r="AA60">
        <v>335844.08</v>
      </c>
      <c r="AB60">
        <v>0</v>
      </c>
      <c r="AC60">
        <v>0</v>
      </c>
      <c r="AD60">
        <v>0</v>
      </c>
      <c r="AE60">
        <v>49244</v>
      </c>
      <c r="AF60">
        <v>0</v>
      </c>
      <c r="AG60">
        <v>0</v>
      </c>
      <c r="AH60">
        <v>0</v>
      </c>
      <c r="AI60">
        <v>6.82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-0.006</v>
      </c>
      <c r="AV60">
        <v>0</v>
      </c>
      <c r="AW60">
        <v>2</v>
      </c>
      <c r="AX60">
        <v>55463715</v>
      </c>
      <c r="AY60">
        <v>1</v>
      </c>
      <c r="AZ60">
        <v>6144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Y60*Source!I79</f>
        <v>-0.010398000000000001</v>
      </c>
      <c r="CY60">
        <f t="shared" si="10"/>
        <v>335844.08</v>
      </c>
      <c r="CZ60">
        <f t="shared" si="11"/>
        <v>49244</v>
      </c>
      <c r="DA60">
        <f t="shared" si="12"/>
        <v>6.82</v>
      </c>
      <c r="DB60">
        <f t="shared" si="13"/>
        <v>-295.46</v>
      </c>
      <c r="DC60">
        <f t="shared" si="14"/>
        <v>0</v>
      </c>
    </row>
    <row r="61" spans="1:107" ht="12.75">
      <c r="A61">
        <f>ROW(Source!A79)</f>
        <v>79</v>
      </c>
      <c r="B61">
        <v>55463412</v>
      </c>
      <c r="C61">
        <v>55463687</v>
      </c>
      <c r="D61">
        <v>53674047</v>
      </c>
      <c r="E61">
        <v>1</v>
      </c>
      <c r="F61">
        <v>1</v>
      </c>
      <c r="G61">
        <v>1</v>
      </c>
      <c r="H61">
        <v>3</v>
      </c>
      <c r="I61" t="s">
        <v>172</v>
      </c>
      <c r="J61" t="s">
        <v>174</v>
      </c>
      <c r="K61" t="s">
        <v>173</v>
      </c>
      <c r="L61">
        <v>1348</v>
      </c>
      <c r="N61">
        <v>1009</v>
      </c>
      <c r="O61" t="s">
        <v>36</v>
      </c>
      <c r="P61" t="s">
        <v>36</v>
      </c>
      <c r="Q61">
        <v>1000</v>
      </c>
      <c r="W61">
        <v>1</v>
      </c>
      <c r="X61">
        <v>-1728016612</v>
      </c>
      <c r="Y61">
        <v>-0.05</v>
      </c>
      <c r="AA61">
        <v>61884</v>
      </c>
      <c r="AB61">
        <v>0</v>
      </c>
      <c r="AC61">
        <v>0</v>
      </c>
      <c r="AD61">
        <v>0</v>
      </c>
      <c r="AE61">
        <v>9073.9</v>
      </c>
      <c r="AF61">
        <v>0</v>
      </c>
      <c r="AG61">
        <v>0</v>
      </c>
      <c r="AH61">
        <v>0</v>
      </c>
      <c r="AI61">
        <v>6.82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-0.05</v>
      </c>
      <c r="AV61">
        <v>0</v>
      </c>
      <c r="AW61">
        <v>2</v>
      </c>
      <c r="AX61">
        <v>55463716</v>
      </c>
      <c r="AY61">
        <v>1</v>
      </c>
      <c r="AZ61">
        <v>6144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Y61*Source!I79</f>
        <v>-0.08665</v>
      </c>
      <c r="CY61">
        <f t="shared" si="10"/>
        <v>61884</v>
      </c>
      <c r="CZ61">
        <f t="shared" si="11"/>
        <v>9073.9</v>
      </c>
      <c r="DA61">
        <f t="shared" si="12"/>
        <v>6.82</v>
      </c>
      <c r="DB61">
        <f t="shared" si="13"/>
        <v>-453.7</v>
      </c>
      <c r="DC61">
        <f t="shared" si="14"/>
        <v>0</v>
      </c>
    </row>
    <row r="62" spans="1:107" ht="12.75">
      <c r="A62">
        <f>ROW(Source!A79)</f>
        <v>79</v>
      </c>
      <c r="B62">
        <v>55463412</v>
      </c>
      <c r="C62">
        <v>55463687</v>
      </c>
      <c r="D62">
        <v>53674722</v>
      </c>
      <c r="E62">
        <v>1</v>
      </c>
      <c r="F62">
        <v>1</v>
      </c>
      <c r="G62">
        <v>1</v>
      </c>
      <c r="H62">
        <v>3</v>
      </c>
      <c r="I62" t="s">
        <v>176</v>
      </c>
      <c r="J62" t="s">
        <v>178</v>
      </c>
      <c r="K62" t="s">
        <v>177</v>
      </c>
      <c r="L62">
        <v>1348</v>
      </c>
      <c r="N62">
        <v>1009</v>
      </c>
      <c r="O62" t="s">
        <v>36</v>
      </c>
      <c r="P62" t="s">
        <v>36</v>
      </c>
      <c r="Q62">
        <v>1000</v>
      </c>
      <c r="W62">
        <v>1</v>
      </c>
      <c r="X62">
        <v>1186343801</v>
      </c>
      <c r="Y62">
        <v>-0.0011</v>
      </c>
      <c r="AA62">
        <v>52627.89</v>
      </c>
      <c r="AB62">
        <v>0</v>
      </c>
      <c r="AC62">
        <v>0</v>
      </c>
      <c r="AD62">
        <v>0</v>
      </c>
      <c r="AE62">
        <v>7716.7</v>
      </c>
      <c r="AF62">
        <v>0</v>
      </c>
      <c r="AG62">
        <v>0</v>
      </c>
      <c r="AH62">
        <v>0</v>
      </c>
      <c r="AI62">
        <v>6.82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-0.0011</v>
      </c>
      <c r="AV62">
        <v>0</v>
      </c>
      <c r="AW62">
        <v>2</v>
      </c>
      <c r="AX62">
        <v>55463717</v>
      </c>
      <c r="AY62">
        <v>1</v>
      </c>
      <c r="AZ62">
        <v>6144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Y62*Source!I79</f>
        <v>-0.0019063000000000003</v>
      </c>
      <c r="CY62">
        <f t="shared" si="10"/>
        <v>52627.89</v>
      </c>
      <c r="CZ62">
        <f t="shared" si="11"/>
        <v>7716.7</v>
      </c>
      <c r="DA62">
        <f t="shared" si="12"/>
        <v>6.82</v>
      </c>
      <c r="DB62">
        <f t="shared" si="13"/>
        <v>-8.49</v>
      </c>
      <c r="DC62">
        <f t="shared" si="14"/>
        <v>0</v>
      </c>
    </row>
    <row r="63" spans="1:107" ht="12.75">
      <c r="A63">
        <f>ROW(Source!A94)</f>
        <v>94</v>
      </c>
      <c r="B63">
        <v>55463411</v>
      </c>
      <c r="C63">
        <v>55463725</v>
      </c>
      <c r="D63">
        <v>53630033</v>
      </c>
      <c r="E63">
        <v>70</v>
      </c>
      <c r="F63">
        <v>1</v>
      </c>
      <c r="G63">
        <v>1</v>
      </c>
      <c r="H63">
        <v>1</v>
      </c>
      <c r="I63" t="s">
        <v>380</v>
      </c>
      <c r="K63" t="s">
        <v>381</v>
      </c>
      <c r="L63">
        <v>1191</v>
      </c>
      <c r="N63">
        <v>1013</v>
      </c>
      <c r="O63" t="s">
        <v>357</v>
      </c>
      <c r="P63" t="s">
        <v>357</v>
      </c>
      <c r="Q63">
        <v>1</v>
      </c>
      <c r="W63">
        <v>0</v>
      </c>
      <c r="X63">
        <v>2031828327</v>
      </c>
      <c r="Y63">
        <v>155.25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135</v>
      </c>
      <c r="AU63" t="s">
        <v>57</v>
      </c>
      <c r="AV63">
        <v>1</v>
      </c>
      <c r="AW63">
        <v>2</v>
      </c>
      <c r="AX63">
        <v>55463735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Y63*Source!I94</f>
        <v>21.424500000000002</v>
      </c>
      <c r="CY63">
        <f>AD63</f>
        <v>7.8</v>
      </c>
      <c r="CZ63">
        <f>AH63</f>
        <v>7.8</v>
      </c>
      <c r="DA63">
        <f>AL63</f>
        <v>1</v>
      </c>
      <c r="DB63">
        <f>ROUND((ROUND(AT63*CZ63,2)*ROUND(1.15,7)),2)</f>
        <v>1210.95</v>
      </c>
      <c r="DC63">
        <f>ROUND((ROUND(AT63*AG63,2)*ROUND(1.15,7)),2)</f>
        <v>0</v>
      </c>
    </row>
    <row r="64" spans="1:107" ht="12.75">
      <c r="A64">
        <f>ROW(Source!A94)</f>
        <v>94</v>
      </c>
      <c r="B64">
        <v>55463411</v>
      </c>
      <c r="C64">
        <v>55463725</v>
      </c>
      <c r="D64">
        <v>53630257</v>
      </c>
      <c r="E64">
        <v>70</v>
      </c>
      <c r="F64">
        <v>1</v>
      </c>
      <c r="G64">
        <v>1</v>
      </c>
      <c r="H64">
        <v>1</v>
      </c>
      <c r="I64" t="s">
        <v>358</v>
      </c>
      <c r="K64" t="s">
        <v>359</v>
      </c>
      <c r="L64">
        <v>1191</v>
      </c>
      <c r="N64">
        <v>1013</v>
      </c>
      <c r="O64" t="s">
        <v>357</v>
      </c>
      <c r="P64" t="s">
        <v>357</v>
      </c>
      <c r="Q64">
        <v>1</v>
      </c>
      <c r="W64">
        <v>0</v>
      </c>
      <c r="X64">
        <v>-1417349443</v>
      </c>
      <c r="Y64">
        <v>22.650000000000002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18.12</v>
      </c>
      <c r="AU64" t="s">
        <v>56</v>
      </c>
      <c r="AV64">
        <v>2</v>
      </c>
      <c r="AW64">
        <v>2</v>
      </c>
      <c r="AX64">
        <v>55463736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Y64*Source!I94</f>
        <v>3.1257000000000006</v>
      </c>
      <c r="CY64">
        <f>AD64</f>
        <v>0</v>
      </c>
      <c r="CZ64">
        <f>AH64</f>
        <v>0</v>
      </c>
      <c r="DA64">
        <f>AL64</f>
        <v>1</v>
      </c>
      <c r="DB64">
        <f>ROUND((ROUND(AT64*CZ64,2)*ROUND(1.25,7)),2)</f>
        <v>0</v>
      </c>
      <c r="DC64">
        <f>ROUND((ROUND(AT64*AG64,2)*ROUND(1.25,7)),2)</f>
        <v>0</v>
      </c>
    </row>
    <row r="65" spans="1:107" ht="12.75">
      <c r="A65">
        <f>ROW(Source!A94)</f>
        <v>94</v>
      </c>
      <c r="B65">
        <v>55463411</v>
      </c>
      <c r="C65">
        <v>55463725</v>
      </c>
      <c r="D65">
        <v>53791939</v>
      </c>
      <c r="E65">
        <v>1</v>
      </c>
      <c r="F65">
        <v>1</v>
      </c>
      <c r="G65">
        <v>1</v>
      </c>
      <c r="H65">
        <v>2</v>
      </c>
      <c r="I65" t="s">
        <v>405</v>
      </c>
      <c r="J65" t="s">
        <v>406</v>
      </c>
      <c r="K65" t="s">
        <v>407</v>
      </c>
      <c r="L65">
        <v>1367</v>
      </c>
      <c r="N65">
        <v>1011</v>
      </c>
      <c r="O65" t="s">
        <v>363</v>
      </c>
      <c r="P65" t="s">
        <v>363</v>
      </c>
      <c r="Q65">
        <v>1</v>
      </c>
      <c r="W65">
        <v>0</v>
      </c>
      <c r="X65">
        <v>-130837057</v>
      </c>
      <c r="Y65">
        <v>22.5</v>
      </c>
      <c r="AA65">
        <v>0</v>
      </c>
      <c r="AB65">
        <v>86.4</v>
      </c>
      <c r="AC65">
        <v>13.5</v>
      </c>
      <c r="AD65">
        <v>0</v>
      </c>
      <c r="AE65">
        <v>0</v>
      </c>
      <c r="AF65">
        <v>86.4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18</v>
      </c>
      <c r="AU65" t="s">
        <v>56</v>
      </c>
      <c r="AV65">
        <v>0</v>
      </c>
      <c r="AW65">
        <v>2</v>
      </c>
      <c r="AX65">
        <v>55463737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Y65*Source!I94</f>
        <v>3.1050000000000004</v>
      </c>
      <c r="CY65">
        <f>AB65</f>
        <v>86.4</v>
      </c>
      <c r="CZ65">
        <f>AF65</f>
        <v>86.4</v>
      </c>
      <c r="DA65">
        <f>AJ65</f>
        <v>1</v>
      </c>
      <c r="DB65">
        <f>ROUND((ROUND(AT65*CZ65,2)*ROUND(1.25,7)),2)</f>
        <v>1944</v>
      </c>
      <c r="DC65">
        <f>ROUND((ROUND(AT65*AG65,2)*ROUND(1.25,7)),2)</f>
        <v>303.75</v>
      </c>
    </row>
    <row r="66" spans="1:107" ht="12.75">
      <c r="A66">
        <f>ROW(Source!A94)</f>
        <v>94</v>
      </c>
      <c r="B66">
        <v>55463411</v>
      </c>
      <c r="C66">
        <v>55463725</v>
      </c>
      <c r="D66">
        <v>53792275</v>
      </c>
      <c r="E66">
        <v>1</v>
      </c>
      <c r="F66">
        <v>1</v>
      </c>
      <c r="G66">
        <v>1</v>
      </c>
      <c r="H66">
        <v>2</v>
      </c>
      <c r="I66" t="s">
        <v>408</v>
      </c>
      <c r="J66" t="s">
        <v>409</v>
      </c>
      <c r="K66" t="s">
        <v>410</v>
      </c>
      <c r="L66">
        <v>1367</v>
      </c>
      <c r="N66">
        <v>1011</v>
      </c>
      <c r="O66" t="s">
        <v>363</v>
      </c>
      <c r="P66" t="s">
        <v>363</v>
      </c>
      <c r="Q66">
        <v>1</v>
      </c>
      <c r="W66">
        <v>0</v>
      </c>
      <c r="X66">
        <v>-1322498708</v>
      </c>
      <c r="Y66">
        <v>7.4125</v>
      </c>
      <c r="AA66">
        <v>0</v>
      </c>
      <c r="AB66">
        <v>0.5</v>
      </c>
      <c r="AC66">
        <v>0</v>
      </c>
      <c r="AD66">
        <v>0</v>
      </c>
      <c r="AE66">
        <v>0</v>
      </c>
      <c r="AF66">
        <v>0.5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5.93</v>
      </c>
      <c r="AU66" t="s">
        <v>56</v>
      </c>
      <c r="AV66">
        <v>0</v>
      </c>
      <c r="AW66">
        <v>2</v>
      </c>
      <c r="AX66">
        <v>55463738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Y66*Source!I94</f>
        <v>1.022925</v>
      </c>
      <c r="CY66">
        <f>AB66</f>
        <v>0.5</v>
      </c>
      <c r="CZ66">
        <f>AF66</f>
        <v>0.5</v>
      </c>
      <c r="DA66">
        <f>AJ66</f>
        <v>1</v>
      </c>
      <c r="DB66">
        <f>ROUND((ROUND(AT66*CZ66,2)*ROUND(1.25,7)),2)</f>
        <v>3.71</v>
      </c>
      <c r="DC66">
        <f>ROUND((ROUND(AT66*AG66,2)*ROUND(1.25,7)),2)</f>
        <v>0</v>
      </c>
    </row>
    <row r="67" spans="1:107" ht="12.75">
      <c r="A67">
        <f>ROW(Source!A94)</f>
        <v>94</v>
      </c>
      <c r="B67">
        <v>55463411</v>
      </c>
      <c r="C67">
        <v>55463725</v>
      </c>
      <c r="D67">
        <v>53792927</v>
      </c>
      <c r="E67">
        <v>1</v>
      </c>
      <c r="F67">
        <v>1</v>
      </c>
      <c r="G67">
        <v>1</v>
      </c>
      <c r="H67">
        <v>2</v>
      </c>
      <c r="I67" t="s">
        <v>390</v>
      </c>
      <c r="J67" t="s">
        <v>391</v>
      </c>
      <c r="K67" t="s">
        <v>392</v>
      </c>
      <c r="L67">
        <v>1367</v>
      </c>
      <c r="N67">
        <v>1011</v>
      </c>
      <c r="O67" t="s">
        <v>363</v>
      </c>
      <c r="P67" t="s">
        <v>363</v>
      </c>
      <c r="Q67">
        <v>1</v>
      </c>
      <c r="W67">
        <v>0</v>
      </c>
      <c r="X67">
        <v>509054691</v>
      </c>
      <c r="Y67">
        <v>0.15</v>
      </c>
      <c r="AA67">
        <v>0</v>
      </c>
      <c r="AB67">
        <v>65.71</v>
      </c>
      <c r="AC67">
        <v>11.6</v>
      </c>
      <c r="AD67">
        <v>0</v>
      </c>
      <c r="AE67">
        <v>0</v>
      </c>
      <c r="AF67">
        <v>65.71</v>
      </c>
      <c r="AG67">
        <v>11.6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0.12</v>
      </c>
      <c r="AU67" t="s">
        <v>56</v>
      </c>
      <c r="AV67">
        <v>0</v>
      </c>
      <c r="AW67">
        <v>2</v>
      </c>
      <c r="AX67">
        <v>55463739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Y67*Source!I94</f>
        <v>0.0207</v>
      </c>
      <c r="CY67">
        <f>AB67</f>
        <v>65.71</v>
      </c>
      <c r="CZ67">
        <f>AF67</f>
        <v>65.71</v>
      </c>
      <c r="DA67">
        <f>AJ67</f>
        <v>1</v>
      </c>
      <c r="DB67">
        <f>ROUND((ROUND(AT67*CZ67,2)*ROUND(1.25,7)),2)</f>
        <v>9.86</v>
      </c>
      <c r="DC67">
        <f>ROUND((ROUND(AT67*AG67,2)*ROUND(1.25,7)),2)</f>
        <v>1.74</v>
      </c>
    </row>
    <row r="68" spans="1:107" ht="12.75">
      <c r="A68">
        <f>ROW(Source!A94)</f>
        <v>94</v>
      </c>
      <c r="B68">
        <v>55463411</v>
      </c>
      <c r="C68">
        <v>55463725</v>
      </c>
      <c r="D68">
        <v>53642555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1339</v>
      </c>
      <c r="N68">
        <v>1007</v>
      </c>
      <c r="O68" t="s">
        <v>160</v>
      </c>
      <c r="P68" t="s">
        <v>160</v>
      </c>
      <c r="Q68">
        <v>1</v>
      </c>
      <c r="W68">
        <v>0</v>
      </c>
      <c r="X68">
        <v>-143474561</v>
      </c>
      <c r="Y68">
        <v>1.75</v>
      </c>
      <c r="AA68">
        <v>2.44</v>
      </c>
      <c r="AB68">
        <v>0</v>
      </c>
      <c r="AC68">
        <v>0</v>
      </c>
      <c r="AD68">
        <v>0</v>
      </c>
      <c r="AE68">
        <v>2.44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1.75</v>
      </c>
      <c r="AV68">
        <v>0</v>
      </c>
      <c r="AW68">
        <v>2</v>
      </c>
      <c r="AX68">
        <v>55463740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Y68*Source!I94</f>
        <v>0.24150000000000002</v>
      </c>
      <c r="CY68">
        <f>AA68</f>
        <v>2.44</v>
      </c>
      <c r="CZ68">
        <f>AE68</f>
        <v>2.44</v>
      </c>
      <c r="DA68">
        <f>AI68</f>
        <v>1</v>
      </c>
      <c r="DB68">
        <f>ROUND(ROUND(AT68*CZ68,2),2)</f>
        <v>4.27</v>
      </c>
      <c r="DC68">
        <f>ROUND(ROUND(AT68*AG68,2),2)</f>
        <v>0</v>
      </c>
    </row>
    <row r="69" spans="1:107" ht="12.75">
      <c r="A69">
        <f>ROW(Source!A94)</f>
        <v>94</v>
      </c>
      <c r="B69">
        <v>55463411</v>
      </c>
      <c r="C69">
        <v>55463725</v>
      </c>
      <c r="D69">
        <v>53643038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416</v>
      </c>
      <c r="L69">
        <v>1327</v>
      </c>
      <c r="N69">
        <v>1005</v>
      </c>
      <c r="O69" t="s">
        <v>165</v>
      </c>
      <c r="P69" t="s">
        <v>165</v>
      </c>
      <c r="Q69">
        <v>1</v>
      </c>
      <c r="W69">
        <v>0</v>
      </c>
      <c r="X69">
        <v>1300369369</v>
      </c>
      <c r="Y69">
        <v>250</v>
      </c>
      <c r="AA69">
        <v>3.62</v>
      </c>
      <c r="AB69">
        <v>0</v>
      </c>
      <c r="AC69">
        <v>0</v>
      </c>
      <c r="AD69">
        <v>0</v>
      </c>
      <c r="AE69">
        <v>3.62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250</v>
      </c>
      <c r="AV69">
        <v>0</v>
      </c>
      <c r="AW69">
        <v>2</v>
      </c>
      <c r="AX69">
        <v>55463741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Y69*Source!I94</f>
        <v>34.5</v>
      </c>
      <c r="CY69">
        <f>AA69</f>
        <v>3.62</v>
      </c>
      <c r="CZ69">
        <f>AE69</f>
        <v>3.62</v>
      </c>
      <c r="DA69">
        <f>AI69</f>
        <v>1</v>
      </c>
      <c r="DB69">
        <f>ROUND(ROUND(AT69*CZ69,2),2)</f>
        <v>905</v>
      </c>
      <c r="DC69">
        <f>ROUND(ROUND(AT69*AG69,2),2)</f>
        <v>0</v>
      </c>
    </row>
    <row r="70" spans="1:107" ht="12.75">
      <c r="A70">
        <f>ROW(Source!A94)</f>
        <v>94</v>
      </c>
      <c r="B70">
        <v>55463411</v>
      </c>
      <c r="C70">
        <v>55463725</v>
      </c>
      <c r="D70">
        <v>53643257</v>
      </c>
      <c r="E70">
        <v>1</v>
      </c>
      <c r="F70">
        <v>1</v>
      </c>
      <c r="G70">
        <v>1</v>
      </c>
      <c r="H70">
        <v>3</v>
      </c>
      <c r="I70" t="s">
        <v>192</v>
      </c>
      <c r="J70" t="s">
        <v>195</v>
      </c>
      <c r="K70" t="s">
        <v>193</v>
      </c>
      <c r="L70">
        <v>1346</v>
      </c>
      <c r="N70">
        <v>1009</v>
      </c>
      <c r="O70" t="s">
        <v>194</v>
      </c>
      <c r="P70" t="s">
        <v>194</v>
      </c>
      <c r="Q70">
        <v>1</v>
      </c>
      <c r="W70">
        <v>0</v>
      </c>
      <c r="X70">
        <v>-1985651722</v>
      </c>
      <c r="Y70">
        <v>173.913043</v>
      </c>
      <c r="AA70">
        <v>18.63</v>
      </c>
      <c r="AB70">
        <v>0</v>
      </c>
      <c r="AC70">
        <v>0</v>
      </c>
      <c r="AD70">
        <v>0</v>
      </c>
      <c r="AE70">
        <v>18.63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173.913043</v>
      </c>
      <c r="AV70">
        <v>0</v>
      </c>
      <c r="AW70">
        <v>1</v>
      </c>
      <c r="AX70">
        <v>-1</v>
      </c>
      <c r="AY70">
        <v>0</v>
      </c>
      <c r="AZ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Y70*Source!I94</f>
        <v>23.999999934</v>
      </c>
      <c r="CY70">
        <f>AA70</f>
        <v>18.63</v>
      </c>
      <c r="CZ70">
        <f>AE70</f>
        <v>18.63</v>
      </c>
      <c r="DA70">
        <f>AI70</f>
        <v>1</v>
      </c>
      <c r="DB70">
        <f>ROUND(ROUND(AT70*CZ70,2),2)</f>
        <v>3240</v>
      </c>
      <c r="DC70">
        <f>ROUND(ROUND(AT70*AG70,2),2)</f>
        <v>0</v>
      </c>
    </row>
    <row r="71" spans="1:107" ht="12.75">
      <c r="A71">
        <f>ROW(Source!A94)</f>
        <v>94</v>
      </c>
      <c r="B71">
        <v>55463411</v>
      </c>
      <c r="C71">
        <v>55463725</v>
      </c>
      <c r="D71">
        <v>53647643</v>
      </c>
      <c r="E71">
        <v>1</v>
      </c>
      <c r="F71">
        <v>1</v>
      </c>
      <c r="G71">
        <v>1</v>
      </c>
      <c r="H71">
        <v>3</v>
      </c>
      <c r="I71" t="s">
        <v>188</v>
      </c>
      <c r="J71" t="s">
        <v>190</v>
      </c>
      <c r="K71" t="s">
        <v>189</v>
      </c>
      <c r="L71">
        <v>1339</v>
      </c>
      <c r="N71">
        <v>1007</v>
      </c>
      <c r="O71" t="s">
        <v>160</v>
      </c>
      <c r="P71" t="s">
        <v>160</v>
      </c>
      <c r="Q71">
        <v>1</v>
      </c>
      <c r="W71">
        <v>0</v>
      </c>
      <c r="X71">
        <v>1536174650</v>
      </c>
      <c r="Y71">
        <v>102.011494</v>
      </c>
      <c r="AA71">
        <v>725.69</v>
      </c>
      <c r="AB71">
        <v>0</v>
      </c>
      <c r="AC71">
        <v>0</v>
      </c>
      <c r="AD71">
        <v>0</v>
      </c>
      <c r="AE71">
        <v>725.69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102.011494</v>
      </c>
      <c r="AV71">
        <v>0</v>
      </c>
      <c r="AW71">
        <v>1</v>
      </c>
      <c r="AX71">
        <v>-1</v>
      </c>
      <c r="AY71">
        <v>0</v>
      </c>
      <c r="AZ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Y71*Source!I94</f>
        <v>14.077586172</v>
      </c>
      <c r="CY71">
        <f>AA71</f>
        <v>725.69</v>
      </c>
      <c r="CZ71">
        <f>AE71</f>
        <v>725.69</v>
      </c>
      <c r="DA71">
        <f>AI71</f>
        <v>1</v>
      </c>
      <c r="DB71">
        <f>ROUND(ROUND(AT71*CZ71,2),2)</f>
        <v>74028.72</v>
      </c>
      <c r="DC71">
        <f>ROUND(ROUND(AT71*AG71,2),2)</f>
        <v>0</v>
      </c>
    </row>
    <row r="72" spans="1:107" ht="12.75">
      <c r="A72">
        <f>ROW(Source!A95)</f>
        <v>95</v>
      </c>
      <c r="B72">
        <v>55463412</v>
      </c>
      <c r="C72">
        <v>55463725</v>
      </c>
      <c r="D72">
        <v>53630033</v>
      </c>
      <c r="E72">
        <v>70</v>
      </c>
      <c r="F72">
        <v>1</v>
      </c>
      <c r="G72">
        <v>1</v>
      </c>
      <c r="H72">
        <v>1</v>
      </c>
      <c r="I72" t="s">
        <v>380</v>
      </c>
      <c r="K72" t="s">
        <v>381</v>
      </c>
      <c r="L72">
        <v>1191</v>
      </c>
      <c r="N72">
        <v>1013</v>
      </c>
      <c r="O72" t="s">
        <v>357</v>
      </c>
      <c r="P72" t="s">
        <v>357</v>
      </c>
      <c r="Q72">
        <v>1</v>
      </c>
      <c r="W72">
        <v>0</v>
      </c>
      <c r="X72">
        <v>2031828327</v>
      </c>
      <c r="Y72">
        <v>155.25</v>
      </c>
      <c r="AA72">
        <v>0</v>
      </c>
      <c r="AB72">
        <v>0</v>
      </c>
      <c r="AC72">
        <v>0</v>
      </c>
      <c r="AD72">
        <v>284.47</v>
      </c>
      <c r="AE72">
        <v>0</v>
      </c>
      <c r="AF72">
        <v>0</v>
      </c>
      <c r="AG72">
        <v>0</v>
      </c>
      <c r="AH72">
        <v>7.8</v>
      </c>
      <c r="AI72">
        <v>1</v>
      </c>
      <c r="AJ72">
        <v>1</v>
      </c>
      <c r="AK72">
        <v>1</v>
      </c>
      <c r="AL72">
        <v>36.47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135</v>
      </c>
      <c r="AU72" t="s">
        <v>57</v>
      </c>
      <c r="AV72">
        <v>1</v>
      </c>
      <c r="AW72">
        <v>2</v>
      </c>
      <c r="AX72">
        <v>55463735</v>
      </c>
      <c r="AY72">
        <v>1</v>
      </c>
      <c r="AZ72">
        <v>0</v>
      </c>
      <c r="BA72">
        <v>71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Y72*Source!I95</f>
        <v>21.424500000000002</v>
      </c>
      <c r="CY72">
        <f>AD72</f>
        <v>284.47</v>
      </c>
      <c r="CZ72">
        <f>AH72</f>
        <v>7.8</v>
      </c>
      <c r="DA72">
        <f>AL72</f>
        <v>36.47</v>
      </c>
      <c r="DB72">
        <f>ROUND((ROUND(AT72*CZ72,2)*ROUND(1.15,7)),2)</f>
        <v>1210.95</v>
      </c>
      <c r="DC72">
        <f>ROUND((ROUND(AT72*AG72,2)*ROUND(1.15,7)),2)</f>
        <v>0</v>
      </c>
    </row>
    <row r="73" spans="1:107" ht="12.75">
      <c r="A73">
        <f>ROW(Source!A95)</f>
        <v>95</v>
      </c>
      <c r="B73">
        <v>55463412</v>
      </c>
      <c r="C73">
        <v>55463725</v>
      </c>
      <c r="D73">
        <v>53630257</v>
      </c>
      <c r="E73">
        <v>70</v>
      </c>
      <c r="F73">
        <v>1</v>
      </c>
      <c r="G73">
        <v>1</v>
      </c>
      <c r="H73">
        <v>1</v>
      </c>
      <c r="I73" t="s">
        <v>358</v>
      </c>
      <c r="K73" t="s">
        <v>359</v>
      </c>
      <c r="L73">
        <v>1191</v>
      </c>
      <c r="N73">
        <v>1013</v>
      </c>
      <c r="O73" t="s">
        <v>357</v>
      </c>
      <c r="P73" t="s">
        <v>357</v>
      </c>
      <c r="Q73">
        <v>1</v>
      </c>
      <c r="W73">
        <v>0</v>
      </c>
      <c r="X73">
        <v>-1417349443</v>
      </c>
      <c r="Y73">
        <v>22.650000000000002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36.47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18.12</v>
      </c>
      <c r="AU73" t="s">
        <v>56</v>
      </c>
      <c r="AV73">
        <v>2</v>
      </c>
      <c r="AW73">
        <v>2</v>
      </c>
      <c r="AX73">
        <v>55463736</v>
      </c>
      <c r="AY73">
        <v>1</v>
      </c>
      <c r="AZ73">
        <v>0</v>
      </c>
      <c r="BA73">
        <v>72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Y73*Source!I95</f>
        <v>3.1257000000000006</v>
      </c>
      <c r="CY73">
        <f>AD73</f>
        <v>0</v>
      </c>
      <c r="CZ73">
        <f>AH73</f>
        <v>0</v>
      </c>
      <c r="DA73">
        <f>AL73</f>
        <v>1</v>
      </c>
      <c r="DB73">
        <f>ROUND((ROUND(AT73*CZ73,2)*ROUND(1.25,7)),2)</f>
        <v>0</v>
      </c>
      <c r="DC73">
        <f>ROUND((ROUND(AT73*AG73,2)*ROUND(1.25,7)),2)</f>
        <v>0</v>
      </c>
    </row>
    <row r="74" spans="1:107" ht="12.75">
      <c r="A74">
        <f>ROW(Source!A95)</f>
        <v>95</v>
      </c>
      <c r="B74">
        <v>55463412</v>
      </c>
      <c r="C74">
        <v>55463725</v>
      </c>
      <c r="D74">
        <v>53791939</v>
      </c>
      <c r="E74">
        <v>1</v>
      </c>
      <c r="F74">
        <v>1</v>
      </c>
      <c r="G74">
        <v>1</v>
      </c>
      <c r="H74">
        <v>2</v>
      </c>
      <c r="I74" t="s">
        <v>405</v>
      </c>
      <c r="J74" t="s">
        <v>406</v>
      </c>
      <c r="K74" t="s">
        <v>407</v>
      </c>
      <c r="L74">
        <v>1367</v>
      </c>
      <c r="N74">
        <v>1011</v>
      </c>
      <c r="O74" t="s">
        <v>363</v>
      </c>
      <c r="P74" t="s">
        <v>363</v>
      </c>
      <c r="Q74">
        <v>1</v>
      </c>
      <c r="W74">
        <v>0</v>
      </c>
      <c r="X74">
        <v>-130837057</v>
      </c>
      <c r="Y74">
        <v>22.5</v>
      </c>
      <c r="AA74">
        <v>0</v>
      </c>
      <c r="AB74">
        <v>1120.61</v>
      </c>
      <c r="AC74">
        <v>492.35</v>
      </c>
      <c r="AD74">
        <v>0</v>
      </c>
      <c r="AE74">
        <v>0</v>
      </c>
      <c r="AF74">
        <v>86.4</v>
      </c>
      <c r="AG74">
        <v>13.5</v>
      </c>
      <c r="AH74">
        <v>0</v>
      </c>
      <c r="AI74">
        <v>1</v>
      </c>
      <c r="AJ74">
        <v>12.97</v>
      </c>
      <c r="AK74">
        <v>36.47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18</v>
      </c>
      <c r="AU74" t="s">
        <v>56</v>
      </c>
      <c r="AV74">
        <v>0</v>
      </c>
      <c r="AW74">
        <v>2</v>
      </c>
      <c r="AX74">
        <v>55463737</v>
      </c>
      <c r="AY74">
        <v>1</v>
      </c>
      <c r="AZ74">
        <v>0</v>
      </c>
      <c r="BA74">
        <v>73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Y74*Source!I95</f>
        <v>3.1050000000000004</v>
      </c>
      <c r="CY74">
        <f>AB74</f>
        <v>1120.61</v>
      </c>
      <c r="CZ74">
        <f>AF74</f>
        <v>86.4</v>
      </c>
      <c r="DA74">
        <f>AJ74</f>
        <v>12.97</v>
      </c>
      <c r="DB74">
        <f>ROUND((ROUND(AT74*CZ74,2)*ROUND(1.25,7)),2)</f>
        <v>1944</v>
      </c>
      <c r="DC74">
        <f>ROUND((ROUND(AT74*AG74,2)*ROUND(1.25,7)),2)</f>
        <v>303.75</v>
      </c>
    </row>
    <row r="75" spans="1:107" ht="12.75">
      <c r="A75">
        <f>ROW(Source!A95)</f>
        <v>95</v>
      </c>
      <c r="B75">
        <v>55463412</v>
      </c>
      <c r="C75">
        <v>55463725</v>
      </c>
      <c r="D75">
        <v>53792275</v>
      </c>
      <c r="E75">
        <v>1</v>
      </c>
      <c r="F75">
        <v>1</v>
      </c>
      <c r="G75">
        <v>1</v>
      </c>
      <c r="H75">
        <v>2</v>
      </c>
      <c r="I75" t="s">
        <v>408</v>
      </c>
      <c r="J75" t="s">
        <v>409</v>
      </c>
      <c r="K75" t="s">
        <v>410</v>
      </c>
      <c r="L75">
        <v>1367</v>
      </c>
      <c r="N75">
        <v>1011</v>
      </c>
      <c r="O75" t="s">
        <v>363</v>
      </c>
      <c r="P75" t="s">
        <v>363</v>
      </c>
      <c r="Q75">
        <v>1</v>
      </c>
      <c r="W75">
        <v>0</v>
      </c>
      <c r="X75">
        <v>-1322498708</v>
      </c>
      <c r="Y75">
        <v>7.4125</v>
      </c>
      <c r="AA75">
        <v>0</v>
      </c>
      <c r="AB75">
        <v>6.49</v>
      </c>
      <c r="AC75">
        <v>0</v>
      </c>
      <c r="AD75">
        <v>0</v>
      </c>
      <c r="AE75">
        <v>0</v>
      </c>
      <c r="AF75">
        <v>0.5</v>
      </c>
      <c r="AG75">
        <v>0</v>
      </c>
      <c r="AH75">
        <v>0</v>
      </c>
      <c r="AI75">
        <v>1</v>
      </c>
      <c r="AJ75">
        <v>12.97</v>
      </c>
      <c r="AK75">
        <v>36.47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5.93</v>
      </c>
      <c r="AU75" t="s">
        <v>56</v>
      </c>
      <c r="AV75">
        <v>0</v>
      </c>
      <c r="AW75">
        <v>2</v>
      </c>
      <c r="AX75">
        <v>55463738</v>
      </c>
      <c r="AY75">
        <v>1</v>
      </c>
      <c r="AZ75">
        <v>0</v>
      </c>
      <c r="BA75">
        <v>74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Y75*Source!I95</f>
        <v>1.022925</v>
      </c>
      <c r="CY75">
        <f>AB75</f>
        <v>6.49</v>
      </c>
      <c r="CZ75">
        <f>AF75</f>
        <v>0.5</v>
      </c>
      <c r="DA75">
        <f>AJ75</f>
        <v>12.97</v>
      </c>
      <c r="DB75">
        <f>ROUND((ROUND(AT75*CZ75,2)*ROUND(1.25,7)),2)</f>
        <v>3.71</v>
      </c>
      <c r="DC75">
        <f>ROUND((ROUND(AT75*AG75,2)*ROUND(1.25,7)),2)</f>
        <v>0</v>
      </c>
    </row>
    <row r="76" spans="1:107" ht="12.75">
      <c r="A76">
        <f>ROW(Source!A95)</f>
        <v>95</v>
      </c>
      <c r="B76">
        <v>55463412</v>
      </c>
      <c r="C76">
        <v>55463725</v>
      </c>
      <c r="D76">
        <v>53792927</v>
      </c>
      <c r="E76">
        <v>1</v>
      </c>
      <c r="F76">
        <v>1</v>
      </c>
      <c r="G76">
        <v>1</v>
      </c>
      <c r="H76">
        <v>2</v>
      </c>
      <c r="I76" t="s">
        <v>390</v>
      </c>
      <c r="J76" t="s">
        <v>391</v>
      </c>
      <c r="K76" t="s">
        <v>392</v>
      </c>
      <c r="L76">
        <v>1367</v>
      </c>
      <c r="N76">
        <v>1011</v>
      </c>
      <c r="O76" t="s">
        <v>363</v>
      </c>
      <c r="P76" t="s">
        <v>363</v>
      </c>
      <c r="Q76">
        <v>1</v>
      </c>
      <c r="W76">
        <v>0</v>
      </c>
      <c r="X76">
        <v>509054691</v>
      </c>
      <c r="Y76">
        <v>0.15</v>
      </c>
      <c r="AA76">
        <v>0</v>
      </c>
      <c r="AB76">
        <v>852.26</v>
      </c>
      <c r="AC76">
        <v>423.05</v>
      </c>
      <c r="AD76">
        <v>0</v>
      </c>
      <c r="AE76">
        <v>0</v>
      </c>
      <c r="AF76">
        <v>65.71</v>
      </c>
      <c r="AG76">
        <v>11.6</v>
      </c>
      <c r="AH76">
        <v>0</v>
      </c>
      <c r="AI76">
        <v>1</v>
      </c>
      <c r="AJ76">
        <v>12.97</v>
      </c>
      <c r="AK76">
        <v>36.47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0.12</v>
      </c>
      <c r="AU76" t="s">
        <v>56</v>
      </c>
      <c r="AV76">
        <v>0</v>
      </c>
      <c r="AW76">
        <v>2</v>
      </c>
      <c r="AX76">
        <v>55463739</v>
      </c>
      <c r="AY76">
        <v>1</v>
      </c>
      <c r="AZ76">
        <v>0</v>
      </c>
      <c r="BA76">
        <v>75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Y76*Source!I95</f>
        <v>0.0207</v>
      </c>
      <c r="CY76">
        <f>AB76</f>
        <v>852.26</v>
      </c>
      <c r="CZ76">
        <f>AF76</f>
        <v>65.71</v>
      </c>
      <c r="DA76">
        <f>AJ76</f>
        <v>12.97</v>
      </c>
      <c r="DB76">
        <f>ROUND((ROUND(AT76*CZ76,2)*ROUND(1.25,7)),2)</f>
        <v>9.86</v>
      </c>
      <c r="DC76">
        <f>ROUND((ROUND(AT76*AG76,2)*ROUND(1.25,7)),2)</f>
        <v>1.74</v>
      </c>
    </row>
    <row r="77" spans="1:107" ht="12.75">
      <c r="A77">
        <f>ROW(Source!A95)</f>
        <v>95</v>
      </c>
      <c r="B77">
        <v>55463412</v>
      </c>
      <c r="C77">
        <v>55463725</v>
      </c>
      <c r="D77">
        <v>53642555</v>
      </c>
      <c r="E77">
        <v>1</v>
      </c>
      <c r="F77">
        <v>1</v>
      </c>
      <c r="G77">
        <v>1</v>
      </c>
      <c r="H77">
        <v>3</v>
      </c>
      <c r="I77" t="s">
        <v>411</v>
      </c>
      <c r="J77" t="s">
        <v>412</v>
      </c>
      <c r="K77" t="s">
        <v>413</v>
      </c>
      <c r="L77">
        <v>1339</v>
      </c>
      <c r="N77">
        <v>1007</v>
      </c>
      <c r="O77" t="s">
        <v>160</v>
      </c>
      <c r="P77" t="s">
        <v>160</v>
      </c>
      <c r="Q77">
        <v>1</v>
      </c>
      <c r="W77">
        <v>0</v>
      </c>
      <c r="X77">
        <v>-143474561</v>
      </c>
      <c r="Y77">
        <v>1.75</v>
      </c>
      <c r="AA77">
        <v>16.64</v>
      </c>
      <c r="AB77">
        <v>0</v>
      </c>
      <c r="AC77">
        <v>0</v>
      </c>
      <c r="AD77">
        <v>0</v>
      </c>
      <c r="AE77">
        <v>2.44</v>
      </c>
      <c r="AF77">
        <v>0</v>
      </c>
      <c r="AG77">
        <v>0</v>
      </c>
      <c r="AH77">
        <v>0</v>
      </c>
      <c r="AI77">
        <v>6.82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1.75</v>
      </c>
      <c r="AV77">
        <v>0</v>
      </c>
      <c r="AW77">
        <v>2</v>
      </c>
      <c r="AX77">
        <v>55463740</v>
      </c>
      <c r="AY77">
        <v>1</v>
      </c>
      <c r="AZ77">
        <v>0</v>
      </c>
      <c r="BA77">
        <v>76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Y77*Source!I95</f>
        <v>0.24150000000000002</v>
      </c>
      <c r="CY77">
        <f>AA77</f>
        <v>16.64</v>
      </c>
      <c r="CZ77">
        <f>AE77</f>
        <v>2.44</v>
      </c>
      <c r="DA77">
        <f>AI77</f>
        <v>6.82</v>
      </c>
      <c r="DB77">
        <f>ROUND(ROUND(AT77*CZ77,2),2)</f>
        <v>4.27</v>
      </c>
      <c r="DC77">
        <f>ROUND(ROUND(AT77*AG77,2),2)</f>
        <v>0</v>
      </c>
    </row>
    <row r="78" spans="1:107" ht="12.75">
      <c r="A78">
        <f>ROW(Source!A95)</f>
        <v>95</v>
      </c>
      <c r="B78">
        <v>55463412</v>
      </c>
      <c r="C78">
        <v>55463725</v>
      </c>
      <c r="D78">
        <v>53643038</v>
      </c>
      <c r="E78">
        <v>1</v>
      </c>
      <c r="F78">
        <v>1</v>
      </c>
      <c r="G78">
        <v>1</v>
      </c>
      <c r="H78">
        <v>3</v>
      </c>
      <c r="I78" t="s">
        <v>414</v>
      </c>
      <c r="J78" t="s">
        <v>415</v>
      </c>
      <c r="K78" t="s">
        <v>416</v>
      </c>
      <c r="L78">
        <v>1327</v>
      </c>
      <c r="N78">
        <v>1005</v>
      </c>
      <c r="O78" t="s">
        <v>165</v>
      </c>
      <c r="P78" t="s">
        <v>165</v>
      </c>
      <c r="Q78">
        <v>1</v>
      </c>
      <c r="W78">
        <v>0</v>
      </c>
      <c r="X78">
        <v>1300369369</v>
      </c>
      <c r="Y78">
        <v>250</v>
      </c>
      <c r="AA78">
        <v>24.69</v>
      </c>
      <c r="AB78">
        <v>0</v>
      </c>
      <c r="AC78">
        <v>0</v>
      </c>
      <c r="AD78">
        <v>0</v>
      </c>
      <c r="AE78">
        <v>3.62</v>
      </c>
      <c r="AF78">
        <v>0</v>
      </c>
      <c r="AG78">
        <v>0</v>
      </c>
      <c r="AH78">
        <v>0</v>
      </c>
      <c r="AI78">
        <v>6.82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250</v>
      </c>
      <c r="AV78">
        <v>0</v>
      </c>
      <c r="AW78">
        <v>2</v>
      </c>
      <c r="AX78">
        <v>55463741</v>
      </c>
      <c r="AY78">
        <v>1</v>
      </c>
      <c r="AZ78">
        <v>0</v>
      </c>
      <c r="BA78">
        <v>77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Y78*Source!I95</f>
        <v>34.5</v>
      </c>
      <c r="CY78">
        <f>AA78</f>
        <v>24.69</v>
      </c>
      <c r="CZ78">
        <f>AE78</f>
        <v>3.62</v>
      </c>
      <c r="DA78">
        <f>AI78</f>
        <v>6.82</v>
      </c>
      <c r="DB78">
        <f>ROUND(ROUND(AT78*CZ78,2),2)</f>
        <v>905</v>
      </c>
      <c r="DC78">
        <f>ROUND(ROUND(AT78*AG78,2),2)</f>
        <v>0</v>
      </c>
    </row>
    <row r="79" spans="1:107" ht="12.75">
      <c r="A79">
        <f>ROW(Source!A95)</f>
        <v>95</v>
      </c>
      <c r="B79">
        <v>55463412</v>
      </c>
      <c r="C79">
        <v>55463725</v>
      </c>
      <c r="D79">
        <v>53643257</v>
      </c>
      <c r="E79">
        <v>1</v>
      </c>
      <c r="F79">
        <v>1</v>
      </c>
      <c r="G79">
        <v>1</v>
      </c>
      <c r="H79">
        <v>3</v>
      </c>
      <c r="I79" t="s">
        <v>192</v>
      </c>
      <c r="J79" t="s">
        <v>195</v>
      </c>
      <c r="K79" t="s">
        <v>193</v>
      </c>
      <c r="L79">
        <v>1346</v>
      </c>
      <c r="N79">
        <v>1009</v>
      </c>
      <c r="O79" t="s">
        <v>194</v>
      </c>
      <c r="P79" t="s">
        <v>194</v>
      </c>
      <c r="Q79">
        <v>1</v>
      </c>
      <c r="W79">
        <v>0</v>
      </c>
      <c r="X79">
        <v>-1985651722</v>
      </c>
      <c r="Y79">
        <v>173.913043</v>
      </c>
      <c r="AA79">
        <v>127.06</v>
      </c>
      <c r="AB79">
        <v>0</v>
      </c>
      <c r="AC79">
        <v>0</v>
      </c>
      <c r="AD79">
        <v>0</v>
      </c>
      <c r="AE79">
        <v>18.63</v>
      </c>
      <c r="AF79">
        <v>0</v>
      </c>
      <c r="AG79">
        <v>0</v>
      </c>
      <c r="AH79">
        <v>0</v>
      </c>
      <c r="AI79">
        <v>6.82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T79">
        <v>173.913043</v>
      </c>
      <c r="AV79">
        <v>0</v>
      </c>
      <c r="AW79">
        <v>1</v>
      </c>
      <c r="AX79">
        <v>-1</v>
      </c>
      <c r="AY79">
        <v>0</v>
      </c>
      <c r="AZ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Y79*Source!I95</f>
        <v>23.999999934</v>
      </c>
      <c r="CY79">
        <f>AA79</f>
        <v>127.06</v>
      </c>
      <c r="CZ79">
        <f>AE79</f>
        <v>18.63</v>
      </c>
      <c r="DA79">
        <f>AI79</f>
        <v>6.82</v>
      </c>
      <c r="DB79">
        <f>ROUND(ROUND(AT79*CZ79,2),2)</f>
        <v>3240</v>
      </c>
      <c r="DC79">
        <f>ROUND(ROUND(AT79*AG79,2),2)</f>
        <v>0</v>
      </c>
    </row>
    <row r="80" spans="1:107" ht="12.75">
      <c r="A80">
        <f>ROW(Source!A95)</f>
        <v>95</v>
      </c>
      <c r="B80">
        <v>55463412</v>
      </c>
      <c r="C80">
        <v>55463725</v>
      </c>
      <c r="D80">
        <v>53647643</v>
      </c>
      <c r="E80">
        <v>1</v>
      </c>
      <c r="F80">
        <v>1</v>
      </c>
      <c r="G80">
        <v>1</v>
      </c>
      <c r="H80">
        <v>3</v>
      </c>
      <c r="I80" t="s">
        <v>188</v>
      </c>
      <c r="J80" t="s">
        <v>190</v>
      </c>
      <c r="K80" t="s">
        <v>189</v>
      </c>
      <c r="L80">
        <v>1339</v>
      </c>
      <c r="N80">
        <v>1007</v>
      </c>
      <c r="O80" t="s">
        <v>160</v>
      </c>
      <c r="P80" t="s">
        <v>160</v>
      </c>
      <c r="Q80">
        <v>1</v>
      </c>
      <c r="W80">
        <v>0</v>
      </c>
      <c r="X80">
        <v>1536174650</v>
      </c>
      <c r="Y80">
        <v>102.011494</v>
      </c>
      <c r="AA80">
        <v>4949.21</v>
      </c>
      <c r="AB80">
        <v>0</v>
      </c>
      <c r="AC80">
        <v>0</v>
      </c>
      <c r="AD80">
        <v>0</v>
      </c>
      <c r="AE80">
        <v>725.69</v>
      </c>
      <c r="AF80">
        <v>0</v>
      </c>
      <c r="AG80">
        <v>0</v>
      </c>
      <c r="AH80">
        <v>0</v>
      </c>
      <c r="AI80">
        <v>6.82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T80">
        <v>102.011494</v>
      </c>
      <c r="AV80">
        <v>0</v>
      </c>
      <c r="AW80">
        <v>1</v>
      </c>
      <c r="AX80">
        <v>-1</v>
      </c>
      <c r="AY80">
        <v>0</v>
      </c>
      <c r="AZ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Y80*Source!I95</f>
        <v>14.077586172</v>
      </c>
      <c r="CY80">
        <f>AA80</f>
        <v>4949.21</v>
      </c>
      <c r="CZ80">
        <f>AE80</f>
        <v>725.69</v>
      </c>
      <c r="DA80">
        <f>AI80</f>
        <v>6.82</v>
      </c>
      <c r="DB80">
        <f>ROUND(ROUND(AT80*CZ80,2),2)</f>
        <v>74028.72</v>
      </c>
      <c r="DC80">
        <f>ROUND(ROUND(AT80*AG80,2),2)</f>
        <v>0</v>
      </c>
    </row>
    <row r="81" spans="1:107" ht="12.75">
      <c r="A81">
        <f>ROW(Source!A100)</f>
        <v>100</v>
      </c>
      <c r="B81">
        <v>55463411</v>
      </c>
      <c r="C81">
        <v>55463745</v>
      </c>
      <c r="D81">
        <v>44800273</v>
      </c>
      <c r="E81">
        <v>54</v>
      </c>
      <c r="F81">
        <v>1</v>
      </c>
      <c r="G81">
        <v>1</v>
      </c>
      <c r="H81">
        <v>1</v>
      </c>
      <c r="I81" t="s">
        <v>417</v>
      </c>
      <c r="K81" t="s">
        <v>418</v>
      </c>
      <c r="L81">
        <v>1191</v>
      </c>
      <c r="N81">
        <v>1013</v>
      </c>
      <c r="O81" t="s">
        <v>357</v>
      </c>
      <c r="P81" t="s">
        <v>357</v>
      </c>
      <c r="Q81">
        <v>1</v>
      </c>
      <c r="W81">
        <v>0</v>
      </c>
      <c r="X81">
        <v>145020957</v>
      </c>
      <c r="Y81">
        <v>26.22</v>
      </c>
      <c r="AA81">
        <v>0</v>
      </c>
      <c r="AB81">
        <v>0</v>
      </c>
      <c r="AC81">
        <v>0</v>
      </c>
      <c r="AD81">
        <v>9.07</v>
      </c>
      <c r="AE81">
        <v>0</v>
      </c>
      <c r="AF81">
        <v>0</v>
      </c>
      <c r="AG81">
        <v>0</v>
      </c>
      <c r="AH81">
        <v>9.07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11.4</v>
      </c>
      <c r="AU81" t="s">
        <v>203</v>
      </c>
      <c r="AV81">
        <v>1</v>
      </c>
      <c r="AW81">
        <v>2</v>
      </c>
      <c r="AX81">
        <v>55463751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Y81*Source!I100</f>
        <v>4.543926</v>
      </c>
      <c r="CY81">
        <f>AD81</f>
        <v>9.07</v>
      </c>
      <c r="CZ81">
        <f>AH81</f>
        <v>9.07</v>
      </c>
      <c r="DA81">
        <f>AL81</f>
        <v>1</v>
      </c>
      <c r="DB81">
        <f>ROUND((ROUND(AT81*CZ81,2)*ROUND((1.15*2),7)),2)</f>
        <v>237.82</v>
      </c>
      <c r="DC81">
        <f>ROUND((ROUND(AT81*AG81,2)*ROUND((1.15*2),7)),2)</f>
        <v>0</v>
      </c>
    </row>
    <row r="82" spans="1:107" ht="12.75">
      <c r="A82">
        <f>ROW(Source!A100)</f>
        <v>100</v>
      </c>
      <c r="B82">
        <v>55463411</v>
      </c>
      <c r="C82">
        <v>55463745</v>
      </c>
      <c r="D82">
        <v>44800452</v>
      </c>
      <c r="E82">
        <v>54</v>
      </c>
      <c r="F82">
        <v>1</v>
      </c>
      <c r="G82">
        <v>1</v>
      </c>
      <c r="H82">
        <v>1</v>
      </c>
      <c r="I82" t="s">
        <v>358</v>
      </c>
      <c r="K82" t="s">
        <v>359</v>
      </c>
      <c r="L82">
        <v>1191</v>
      </c>
      <c r="N82">
        <v>1013</v>
      </c>
      <c r="O82" t="s">
        <v>357</v>
      </c>
      <c r="P82" t="s">
        <v>357</v>
      </c>
      <c r="Q82">
        <v>1</v>
      </c>
      <c r="W82">
        <v>0</v>
      </c>
      <c r="X82">
        <v>-1417349443</v>
      </c>
      <c r="Y82">
        <v>0.4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0.16</v>
      </c>
      <c r="AU82" t="s">
        <v>202</v>
      </c>
      <c r="AV82">
        <v>2</v>
      </c>
      <c r="AW82">
        <v>2</v>
      </c>
      <c r="AX82">
        <v>55463752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Y82*Source!I100</f>
        <v>0.06932</v>
      </c>
      <c r="CY82">
        <f>AD82</f>
        <v>0</v>
      </c>
      <c r="CZ82">
        <f>AH82</f>
        <v>0</v>
      </c>
      <c r="DA82">
        <f>AL82</f>
        <v>1</v>
      </c>
      <c r="DB82">
        <f>ROUND((ROUND(AT82*CZ82,2)*ROUND((1.25*2),7)),2)</f>
        <v>0</v>
      </c>
      <c r="DC82">
        <f>ROUND((ROUND(AT82*AG82,2)*ROUND((1.25*2),7)),2)</f>
        <v>0</v>
      </c>
    </row>
    <row r="83" spans="1:107" ht="12.75">
      <c r="A83">
        <f>ROW(Source!A100)</f>
        <v>100</v>
      </c>
      <c r="B83">
        <v>55463411</v>
      </c>
      <c r="C83">
        <v>55463745</v>
      </c>
      <c r="D83">
        <v>44976261</v>
      </c>
      <c r="E83">
        <v>1</v>
      </c>
      <c r="F83">
        <v>1</v>
      </c>
      <c r="G83">
        <v>1</v>
      </c>
      <c r="H83">
        <v>2</v>
      </c>
      <c r="I83" t="s">
        <v>419</v>
      </c>
      <c r="J83" t="s">
        <v>420</v>
      </c>
      <c r="K83" t="s">
        <v>421</v>
      </c>
      <c r="L83">
        <v>1368</v>
      </c>
      <c r="N83">
        <v>1011</v>
      </c>
      <c r="O83" t="s">
        <v>371</v>
      </c>
      <c r="P83" t="s">
        <v>371</v>
      </c>
      <c r="Q83">
        <v>1</v>
      </c>
      <c r="W83">
        <v>0</v>
      </c>
      <c r="X83">
        <v>-747672348</v>
      </c>
      <c r="Y83">
        <v>0.17500000000000002</v>
      </c>
      <c r="AA83">
        <v>0</v>
      </c>
      <c r="AB83">
        <v>115.4</v>
      </c>
      <c r="AC83">
        <v>13.5</v>
      </c>
      <c r="AD83">
        <v>0</v>
      </c>
      <c r="AE83">
        <v>0</v>
      </c>
      <c r="AF83">
        <v>115.4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0.07</v>
      </c>
      <c r="AU83" t="s">
        <v>202</v>
      </c>
      <c r="AV83">
        <v>0</v>
      </c>
      <c r="AW83">
        <v>2</v>
      </c>
      <c r="AX83">
        <v>55463753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Y83*Source!I100</f>
        <v>0.030327500000000004</v>
      </c>
      <c r="CY83">
        <f>AB83</f>
        <v>115.4</v>
      </c>
      <c r="CZ83">
        <f>AF83</f>
        <v>115.4</v>
      </c>
      <c r="DA83">
        <f>AJ83</f>
        <v>1</v>
      </c>
      <c r="DB83">
        <f>ROUND((ROUND(AT83*CZ83,2)*ROUND((1.25*2),7)),2)</f>
        <v>20.2</v>
      </c>
      <c r="DC83">
        <f>ROUND((ROUND(AT83*AG83,2)*ROUND((1.25*2),7)),2)</f>
        <v>2.38</v>
      </c>
    </row>
    <row r="84" spans="1:107" ht="12.75">
      <c r="A84">
        <f>ROW(Source!A100)</f>
        <v>100</v>
      </c>
      <c r="B84">
        <v>55463411</v>
      </c>
      <c r="C84">
        <v>55463745</v>
      </c>
      <c r="D84">
        <v>44977280</v>
      </c>
      <c r="E84">
        <v>1</v>
      </c>
      <c r="F84">
        <v>1</v>
      </c>
      <c r="G84">
        <v>1</v>
      </c>
      <c r="H84">
        <v>2</v>
      </c>
      <c r="I84" t="s">
        <v>390</v>
      </c>
      <c r="J84" t="s">
        <v>391</v>
      </c>
      <c r="K84" t="s">
        <v>392</v>
      </c>
      <c r="L84">
        <v>1368</v>
      </c>
      <c r="N84">
        <v>1011</v>
      </c>
      <c r="O84" t="s">
        <v>371</v>
      </c>
      <c r="P84" t="s">
        <v>371</v>
      </c>
      <c r="Q84">
        <v>1</v>
      </c>
      <c r="W84">
        <v>0</v>
      </c>
      <c r="X84">
        <v>-1057454432</v>
      </c>
      <c r="Y84">
        <v>0.22499999999999998</v>
      </c>
      <c r="AA84">
        <v>0</v>
      </c>
      <c r="AB84">
        <v>65.71</v>
      </c>
      <c r="AC84">
        <v>11.6</v>
      </c>
      <c r="AD84">
        <v>0</v>
      </c>
      <c r="AE84">
        <v>0</v>
      </c>
      <c r="AF84">
        <v>65.71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0.09</v>
      </c>
      <c r="AU84" t="s">
        <v>202</v>
      </c>
      <c r="AV84">
        <v>0</v>
      </c>
      <c r="AW84">
        <v>2</v>
      </c>
      <c r="AX84">
        <v>55463754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Y84*Source!I100</f>
        <v>0.0389925</v>
      </c>
      <c r="CY84">
        <f>AB84</f>
        <v>65.71</v>
      </c>
      <c r="CZ84">
        <f>AF84</f>
        <v>65.71</v>
      </c>
      <c r="DA84">
        <f>AJ84</f>
        <v>1</v>
      </c>
      <c r="DB84">
        <f>ROUND((ROUND(AT84*CZ84,2)*ROUND((1.25*2),7)),2)</f>
        <v>14.78</v>
      </c>
      <c r="DC84">
        <f>ROUND((ROUND(AT84*AG84,2)*ROUND((1.25*2),7)),2)</f>
        <v>2.6</v>
      </c>
    </row>
    <row r="85" spans="1:107" ht="12.75">
      <c r="A85">
        <f>ROW(Source!A100)</f>
        <v>100</v>
      </c>
      <c r="B85">
        <v>55463411</v>
      </c>
      <c r="C85">
        <v>55463745</v>
      </c>
      <c r="D85">
        <v>53662952</v>
      </c>
      <c r="E85">
        <v>1</v>
      </c>
      <c r="F85">
        <v>1</v>
      </c>
      <c r="G85">
        <v>1</v>
      </c>
      <c r="H85">
        <v>3</v>
      </c>
      <c r="I85" t="s">
        <v>205</v>
      </c>
      <c r="J85" t="s">
        <v>207</v>
      </c>
      <c r="K85" t="s">
        <v>206</v>
      </c>
      <c r="L85">
        <v>1348</v>
      </c>
      <c r="N85">
        <v>1009</v>
      </c>
      <c r="O85" t="s">
        <v>36</v>
      </c>
      <c r="P85" t="s">
        <v>36</v>
      </c>
      <c r="Q85">
        <v>1000</v>
      </c>
      <c r="W85">
        <v>0</v>
      </c>
      <c r="X85">
        <v>1041208566</v>
      </c>
      <c r="Y85">
        <v>6.206897</v>
      </c>
      <c r="AA85">
        <v>8690</v>
      </c>
      <c r="AB85">
        <v>0</v>
      </c>
      <c r="AC85">
        <v>0</v>
      </c>
      <c r="AD85">
        <v>0</v>
      </c>
      <c r="AE85">
        <v>8690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1</v>
      </c>
      <c r="AQ85">
        <v>0</v>
      </c>
      <c r="AR85">
        <v>0</v>
      </c>
      <c r="AT85">
        <v>6.206897</v>
      </c>
      <c r="AV85">
        <v>0</v>
      </c>
      <c r="AW85">
        <v>1</v>
      </c>
      <c r="AX85">
        <v>-1</v>
      </c>
      <c r="AY85">
        <v>0</v>
      </c>
      <c r="AZ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Y85*Source!I100</f>
        <v>1.0756552501</v>
      </c>
      <c r="CY85">
        <f>AA85</f>
        <v>8690</v>
      </c>
      <c r="CZ85">
        <f>AE85</f>
        <v>8690</v>
      </c>
      <c r="DA85">
        <f>AI85</f>
        <v>1</v>
      </c>
      <c r="DB85">
        <f>ROUND(ROUND(AT85*CZ85,2),2)</f>
        <v>53937.93</v>
      </c>
      <c r="DC85">
        <f>ROUND(ROUND(AT85*AG85,2),2)</f>
        <v>0</v>
      </c>
    </row>
    <row r="86" spans="1:107" ht="12.75">
      <c r="A86">
        <f>ROW(Source!A101)</f>
        <v>101</v>
      </c>
      <c r="B86">
        <v>55463412</v>
      </c>
      <c r="C86">
        <v>55463745</v>
      </c>
      <c r="D86">
        <v>44800273</v>
      </c>
      <c r="E86">
        <v>54</v>
      </c>
      <c r="F86">
        <v>1</v>
      </c>
      <c r="G86">
        <v>1</v>
      </c>
      <c r="H86">
        <v>1</v>
      </c>
      <c r="I86" t="s">
        <v>417</v>
      </c>
      <c r="K86" t="s">
        <v>418</v>
      </c>
      <c r="L86">
        <v>1191</v>
      </c>
      <c r="N86">
        <v>1013</v>
      </c>
      <c r="O86" t="s">
        <v>357</v>
      </c>
      <c r="P86" t="s">
        <v>357</v>
      </c>
      <c r="Q86">
        <v>1</v>
      </c>
      <c r="W86">
        <v>0</v>
      </c>
      <c r="X86">
        <v>145020957</v>
      </c>
      <c r="Y86">
        <v>26.22</v>
      </c>
      <c r="AA86">
        <v>0</v>
      </c>
      <c r="AB86">
        <v>0</v>
      </c>
      <c r="AC86">
        <v>0</v>
      </c>
      <c r="AD86">
        <v>330.78</v>
      </c>
      <c r="AE86">
        <v>0</v>
      </c>
      <c r="AF86">
        <v>0</v>
      </c>
      <c r="AG86">
        <v>0</v>
      </c>
      <c r="AH86">
        <v>9.07</v>
      </c>
      <c r="AI86">
        <v>1</v>
      </c>
      <c r="AJ86">
        <v>1</v>
      </c>
      <c r="AK86">
        <v>1</v>
      </c>
      <c r="AL86">
        <v>36.47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11.4</v>
      </c>
      <c r="AU86" t="s">
        <v>203</v>
      </c>
      <c r="AV86">
        <v>1</v>
      </c>
      <c r="AW86">
        <v>2</v>
      </c>
      <c r="AX86">
        <v>55463751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Y86*Source!I101</f>
        <v>4.543926</v>
      </c>
      <c r="CY86">
        <f>AD86</f>
        <v>330.78</v>
      </c>
      <c r="CZ86">
        <f>AH86</f>
        <v>9.07</v>
      </c>
      <c r="DA86">
        <f>AL86</f>
        <v>36.47</v>
      </c>
      <c r="DB86">
        <f>ROUND((ROUND(AT86*CZ86,2)*ROUND((1.15*2),7)),2)</f>
        <v>237.82</v>
      </c>
      <c r="DC86">
        <f>ROUND((ROUND(AT86*AG86,2)*ROUND((1.15*2),7)),2)</f>
        <v>0</v>
      </c>
    </row>
    <row r="87" spans="1:107" ht="12.75">
      <c r="A87">
        <f>ROW(Source!A101)</f>
        <v>101</v>
      </c>
      <c r="B87">
        <v>55463412</v>
      </c>
      <c r="C87">
        <v>55463745</v>
      </c>
      <c r="D87">
        <v>44800452</v>
      </c>
      <c r="E87">
        <v>54</v>
      </c>
      <c r="F87">
        <v>1</v>
      </c>
      <c r="G87">
        <v>1</v>
      </c>
      <c r="H87">
        <v>1</v>
      </c>
      <c r="I87" t="s">
        <v>358</v>
      </c>
      <c r="K87" t="s">
        <v>359</v>
      </c>
      <c r="L87">
        <v>1191</v>
      </c>
      <c r="N87">
        <v>1013</v>
      </c>
      <c r="O87" t="s">
        <v>357</v>
      </c>
      <c r="P87" t="s">
        <v>357</v>
      </c>
      <c r="Q87">
        <v>1</v>
      </c>
      <c r="W87">
        <v>0</v>
      </c>
      <c r="X87">
        <v>-1417349443</v>
      </c>
      <c r="Y87">
        <v>0.4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36.47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0.16</v>
      </c>
      <c r="AU87" t="s">
        <v>202</v>
      </c>
      <c r="AV87">
        <v>2</v>
      </c>
      <c r="AW87">
        <v>2</v>
      </c>
      <c r="AX87">
        <v>55463752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Y87*Source!I101</f>
        <v>0.06932</v>
      </c>
      <c r="CY87">
        <f>AD87</f>
        <v>0</v>
      </c>
      <c r="CZ87">
        <f>AH87</f>
        <v>0</v>
      </c>
      <c r="DA87">
        <f>AL87</f>
        <v>1</v>
      </c>
      <c r="DB87">
        <f>ROUND((ROUND(AT87*CZ87,2)*ROUND((1.25*2),7)),2)</f>
        <v>0</v>
      </c>
      <c r="DC87">
        <f>ROUND((ROUND(AT87*AG87,2)*ROUND((1.25*2),7)),2)</f>
        <v>0</v>
      </c>
    </row>
    <row r="88" spans="1:107" ht="12.75">
      <c r="A88">
        <f>ROW(Source!A101)</f>
        <v>101</v>
      </c>
      <c r="B88">
        <v>55463412</v>
      </c>
      <c r="C88">
        <v>55463745</v>
      </c>
      <c r="D88">
        <v>44976261</v>
      </c>
      <c r="E88">
        <v>1</v>
      </c>
      <c r="F88">
        <v>1</v>
      </c>
      <c r="G88">
        <v>1</v>
      </c>
      <c r="H88">
        <v>2</v>
      </c>
      <c r="I88" t="s">
        <v>419</v>
      </c>
      <c r="J88" t="s">
        <v>420</v>
      </c>
      <c r="K88" t="s">
        <v>421</v>
      </c>
      <c r="L88">
        <v>1368</v>
      </c>
      <c r="N88">
        <v>1011</v>
      </c>
      <c r="O88" t="s">
        <v>371</v>
      </c>
      <c r="P88" t="s">
        <v>371</v>
      </c>
      <c r="Q88">
        <v>1</v>
      </c>
      <c r="W88">
        <v>0</v>
      </c>
      <c r="X88">
        <v>-747672348</v>
      </c>
      <c r="Y88">
        <v>0.17500000000000002</v>
      </c>
      <c r="AA88">
        <v>0</v>
      </c>
      <c r="AB88">
        <v>1496.74</v>
      </c>
      <c r="AC88">
        <v>492.35</v>
      </c>
      <c r="AD88">
        <v>0</v>
      </c>
      <c r="AE88">
        <v>0</v>
      </c>
      <c r="AF88">
        <v>115.4</v>
      </c>
      <c r="AG88">
        <v>13.5</v>
      </c>
      <c r="AH88">
        <v>0</v>
      </c>
      <c r="AI88">
        <v>1</v>
      </c>
      <c r="AJ88">
        <v>12.97</v>
      </c>
      <c r="AK88">
        <v>36.47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0.07</v>
      </c>
      <c r="AU88" t="s">
        <v>202</v>
      </c>
      <c r="AV88">
        <v>0</v>
      </c>
      <c r="AW88">
        <v>2</v>
      </c>
      <c r="AX88">
        <v>55463753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Y88*Source!I101</f>
        <v>0.030327500000000004</v>
      </c>
      <c r="CY88">
        <f>AB88</f>
        <v>1496.74</v>
      </c>
      <c r="CZ88">
        <f>AF88</f>
        <v>115.4</v>
      </c>
      <c r="DA88">
        <f>AJ88</f>
        <v>12.97</v>
      </c>
      <c r="DB88">
        <f>ROUND((ROUND(AT88*CZ88,2)*ROUND((1.25*2),7)),2)</f>
        <v>20.2</v>
      </c>
      <c r="DC88">
        <f>ROUND((ROUND(AT88*AG88,2)*ROUND((1.25*2),7)),2)</f>
        <v>2.38</v>
      </c>
    </row>
    <row r="89" spans="1:107" ht="12.75">
      <c r="A89">
        <f>ROW(Source!A101)</f>
        <v>101</v>
      </c>
      <c r="B89">
        <v>55463412</v>
      </c>
      <c r="C89">
        <v>55463745</v>
      </c>
      <c r="D89">
        <v>44977280</v>
      </c>
      <c r="E89">
        <v>1</v>
      </c>
      <c r="F89">
        <v>1</v>
      </c>
      <c r="G89">
        <v>1</v>
      </c>
      <c r="H89">
        <v>2</v>
      </c>
      <c r="I89" t="s">
        <v>390</v>
      </c>
      <c r="J89" t="s">
        <v>391</v>
      </c>
      <c r="K89" t="s">
        <v>392</v>
      </c>
      <c r="L89">
        <v>1368</v>
      </c>
      <c r="N89">
        <v>1011</v>
      </c>
      <c r="O89" t="s">
        <v>371</v>
      </c>
      <c r="P89" t="s">
        <v>371</v>
      </c>
      <c r="Q89">
        <v>1</v>
      </c>
      <c r="W89">
        <v>0</v>
      </c>
      <c r="X89">
        <v>-1057454432</v>
      </c>
      <c r="Y89">
        <v>0.22499999999999998</v>
      </c>
      <c r="AA89">
        <v>0</v>
      </c>
      <c r="AB89">
        <v>852.26</v>
      </c>
      <c r="AC89">
        <v>423.05</v>
      </c>
      <c r="AD89">
        <v>0</v>
      </c>
      <c r="AE89">
        <v>0</v>
      </c>
      <c r="AF89">
        <v>65.71</v>
      </c>
      <c r="AG89">
        <v>11.6</v>
      </c>
      <c r="AH89">
        <v>0</v>
      </c>
      <c r="AI89">
        <v>1</v>
      </c>
      <c r="AJ89">
        <v>12.97</v>
      </c>
      <c r="AK89">
        <v>36.47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0.09</v>
      </c>
      <c r="AU89" t="s">
        <v>202</v>
      </c>
      <c r="AV89">
        <v>0</v>
      </c>
      <c r="AW89">
        <v>2</v>
      </c>
      <c r="AX89">
        <v>55463754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Y89*Source!I101</f>
        <v>0.0389925</v>
      </c>
      <c r="CY89">
        <f>AB89</f>
        <v>852.26</v>
      </c>
      <c r="CZ89">
        <f>AF89</f>
        <v>65.71</v>
      </c>
      <c r="DA89">
        <f>AJ89</f>
        <v>12.97</v>
      </c>
      <c r="DB89">
        <f>ROUND((ROUND(AT89*CZ89,2)*ROUND((1.25*2),7)),2)</f>
        <v>14.78</v>
      </c>
      <c r="DC89">
        <f>ROUND((ROUND(AT89*AG89,2)*ROUND((1.25*2),7)),2)</f>
        <v>2.6</v>
      </c>
    </row>
    <row r="90" spans="1:107" ht="12.75">
      <c r="A90">
        <f>ROW(Source!A101)</f>
        <v>101</v>
      </c>
      <c r="B90">
        <v>55463412</v>
      </c>
      <c r="C90">
        <v>55463745</v>
      </c>
      <c r="D90">
        <v>53662952</v>
      </c>
      <c r="E90">
        <v>1</v>
      </c>
      <c r="F90">
        <v>1</v>
      </c>
      <c r="G90">
        <v>1</v>
      </c>
      <c r="H90">
        <v>3</v>
      </c>
      <c r="I90" t="s">
        <v>205</v>
      </c>
      <c r="J90" t="s">
        <v>207</v>
      </c>
      <c r="K90" t="s">
        <v>206</v>
      </c>
      <c r="L90">
        <v>1348</v>
      </c>
      <c r="N90">
        <v>1009</v>
      </c>
      <c r="O90" t="s">
        <v>36</v>
      </c>
      <c r="P90" t="s">
        <v>36</v>
      </c>
      <c r="Q90">
        <v>1000</v>
      </c>
      <c r="W90">
        <v>0</v>
      </c>
      <c r="X90">
        <v>1041208566</v>
      </c>
      <c r="Y90">
        <v>6.206897</v>
      </c>
      <c r="AA90">
        <v>59265.8</v>
      </c>
      <c r="AB90">
        <v>0</v>
      </c>
      <c r="AC90">
        <v>0</v>
      </c>
      <c r="AD90">
        <v>0</v>
      </c>
      <c r="AE90">
        <v>8690</v>
      </c>
      <c r="AF90">
        <v>0</v>
      </c>
      <c r="AG90">
        <v>0</v>
      </c>
      <c r="AH90">
        <v>0</v>
      </c>
      <c r="AI90">
        <v>6.82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1</v>
      </c>
      <c r="AQ90">
        <v>0</v>
      </c>
      <c r="AR90">
        <v>0</v>
      </c>
      <c r="AT90">
        <v>6.206897</v>
      </c>
      <c r="AV90">
        <v>0</v>
      </c>
      <c r="AW90">
        <v>1</v>
      </c>
      <c r="AX90">
        <v>-1</v>
      </c>
      <c r="AY90">
        <v>0</v>
      </c>
      <c r="AZ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Y90*Source!I101</f>
        <v>1.0756552501</v>
      </c>
      <c r="CY90">
        <f>AA90</f>
        <v>59265.8</v>
      </c>
      <c r="CZ90">
        <f>AE90</f>
        <v>8690</v>
      </c>
      <c r="DA90">
        <f>AI90</f>
        <v>6.82</v>
      </c>
      <c r="DB90">
        <f>ROUND(ROUND(AT90*CZ90,2),2)</f>
        <v>53937.93</v>
      </c>
      <c r="DC90">
        <f>ROUND(ROUND(AT90*AG90,2),2)</f>
        <v>0</v>
      </c>
    </row>
    <row r="91" spans="1:107" ht="12.75">
      <c r="A91">
        <f>ROW(Source!A104)</f>
        <v>104</v>
      </c>
      <c r="B91">
        <v>55463411</v>
      </c>
      <c r="C91">
        <v>55643337</v>
      </c>
      <c r="D91">
        <v>37822896</v>
      </c>
      <c r="E91">
        <v>70</v>
      </c>
      <c r="F91">
        <v>1</v>
      </c>
      <c r="G91">
        <v>1</v>
      </c>
      <c r="H91">
        <v>1</v>
      </c>
      <c r="I91" t="s">
        <v>355</v>
      </c>
      <c r="K91" t="s">
        <v>356</v>
      </c>
      <c r="L91">
        <v>1191</v>
      </c>
      <c r="N91">
        <v>1013</v>
      </c>
      <c r="O91" t="s">
        <v>357</v>
      </c>
      <c r="P91" t="s">
        <v>357</v>
      </c>
      <c r="Q91">
        <v>1</v>
      </c>
      <c r="W91">
        <v>0</v>
      </c>
      <c r="X91">
        <v>1049124552</v>
      </c>
      <c r="Y91">
        <v>43.93</v>
      </c>
      <c r="AA91">
        <v>0</v>
      </c>
      <c r="AB91">
        <v>0</v>
      </c>
      <c r="AC91">
        <v>0</v>
      </c>
      <c r="AD91">
        <v>8.53</v>
      </c>
      <c r="AE91">
        <v>0</v>
      </c>
      <c r="AF91">
        <v>0</v>
      </c>
      <c r="AG91">
        <v>0</v>
      </c>
      <c r="AH91">
        <v>8.53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38.2</v>
      </c>
      <c r="AU91" t="s">
        <v>57</v>
      </c>
      <c r="AV91">
        <v>1</v>
      </c>
      <c r="AW91">
        <v>2</v>
      </c>
      <c r="AX91">
        <v>55643344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Y91*Source!I104</f>
        <v>76.13069</v>
      </c>
      <c r="CY91">
        <f>AD91</f>
        <v>8.53</v>
      </c>
      <c r="CZ91">
        <f>AH91</f>
        <v>8.53</v>
      </c>
      <c r="DA91">
        <f>AL91</f>
        <v>1</v>
      </c>
      <c r="DB91">
        <f>ROUND((ROUND(AT91*CZ91,2)*ROUND(1.15,7)),2)</f>
        <v>374.73</v>
      </c>
      <c r="DC91">
        <f>ROUND((ROUND(AT91*AG91,2)*ROUND(1.15,7)),2)</f>
        <v>0</v>
      </c>
    </row>
    <row r="92" spans="1:107" ht="12.75">
      <c r="A92">
        <f>ROW(Source!A104)</f>
        <v>104</v>
      </c>
      <c r="B92">
        <v>55463411</v>
      </c>
      <c r="C92">
        <v>55643337</v>
      </c>
      <c r="D92">
        <v>37822850</v>
      </c>
      <c r="E92">
        <v>70</v>
      </c>
      <c r="F92">
        <v>1</v>
      </c>
      <c r="G92">
        <v>1</v>
      </c>
      <c r="H92">
        <v>1</v>
      </c>
      <c r="I92" t="s">
        <v>358</v>
      </c>
      <c r="K92" t="s">
        <v>359</v>
      </c>
      <c r="L92">
        <v>1191</v>
      </c>
      <c r="N92">
        <v>1013</v>
      </c>
      <c r="O92" t="s">
        <v>357</v>
      </c>
      <c r="P92" t="s">
        <v>357</v>
      </c>
      <c r="Q92">
        <v>1</v>
      </c>
      <c r="W92">
        <v>0</v>
      </c>
      <c r="X92">
        <v>-1417349443</v>
      </c>
      <c r="Y92">
        <v>0.5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0.4</v>
      </c>
      <c r="AU92" t="s">
        <v>56</v>
      </c>
      <c r="AV92">
        <v>2</v>
      </c>
      <c r="AW92">
        <v>2</v>
      </c>
      <c r="AX92">
        <v>55643345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Y92*Source!I104</f>
        <v>0.8665</v>
      </c>
      <c r="CY92">
        <f>AD92</f>
        <v>0</v>
      </c>
      <c r="CZ92">
        <f>AH92</f>
        <v>0</v>
      </c>
      <c r="DA92">
        <f>AL92</f>
        <v>1</v>
      </c>
      <c r="DB92">
        <f>ROUND((ROUND(AT92*CZ92,2)*ROUND(1.25,7)),2)</f>
        <v>0</v>
      </c>
      <c r="DC92">
        <f>ROUND((ROUND(AT92*AG92,2)*ROUND(1.25,7)),2)</f>
        <v>0</v>
      </c>
    </row>
    <row r="93" spans="1:107" ht="12.75">
      <c r="A93">
        <f>ROW(Source!A104)</f>
        <v>104</v>
      </c>
      <c r="B93">
        <v>55463411</v>
      </c>
      <c r="C93">
        <v>55643337</v>
      </c>
      <c r="D93">
        <v>53792927</v>
      </c>
      <c r="E93">
        <v>1</v>
      </c>
      <c r="F93">
        <v>1</v>
      </c>
      <c r="G93">
        <v>1</v>
      </c>
      <c r="H93">
        <v>2</v>
      </c>
      <c r="I93" t="s">
        <v>390</v>
      </c>
      <c r="J93" t="s">
        <v>391</v>
      </c>
      <c r="K93" t="s">
        <v>392</v>
      </c>
      <c r="L93">
        <v>1367</v>
      </c>
      <c r="N93">
        <v>1011</v>
      </c>
      <c r="O93" t="s">
        <v>363</v>
      </c>
      <c r="P93" t="s">
        <v>363</v>
      </c>
      <c r="Q93">
        <v>1</v>
      </c>
      <c r="W93">
        <v>0</v>
      </c>
      <c r="X93">
        <v>509054691</v>
      </c>
      <c r="Y93">
        <v>0.5</v>
      </c>
      <c r="AA93">
        <v>0</v>
      </c>
      <c r="AB93">
        <v>65.71</v>
      </c>
      <c r="AC93">
        <v>11.6</v>
      </c>
      <c r="AD93">
        <v>0</v>
      </c>
      <c r="AE93">
        <v>0</v>
      </c>
      <c r="AF93">
        <v>65.71</v>
      </c>
      <c r="AG93">
        <v>11.6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0.4</v>
      </c>
      <c r="AU93" t="s">
        <v>56</v>
      </c>
      <c r="AV93">
        <v>0</v>
      </c>
      <c r="AW93">
        <v>2</v>
      </c>
      <c r="AX93">
        <v>55643346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Y93*Source!I104</f>
        <v>0.8665</v>
      </c>
      <c r="CY93">
        <f>AB93</f>
        <v>65.71</v>
      </c>
      <c r="CZ93">
        <f>AF93</f>
        <v>65.71</v>
      </c>
      <c r="DA93">
        <f>AJ93</f>
        <v>1</v>
      </c>
      <c r="DB93">
        <f>ROUND((ROUND(AT93*CZ93,2)*ROUND(1.25,7)),2)</f>
        <v>32.85</v>
      </c>
      <c r="DC93">
        <f>ROUND((ROUND(AT93*AG93,2)*ROUND(1.25,7)),2)</f>
        <v>5.8</v>
      </c>
    </row>
    <row r="94" spans="1:107" ht="12.75">
      <c r="A94">
        <f>ROW(Source!A104)</f>
        <v>104</v>
      </c>
      <c r="B94">
        <v>55463411</v>
      </c>
      <c r="C94">
        <v>55643337</v>
      </c>
      <c r="D94">
        <v>53642555</v>
      </c>
      <c r="E94">
        <v>1</v>
      </c>
      <c r="F94">
        <v>1</v>
      </c>
      <c r="G94">
        <v>1</v>
      </c>
      <c r="H94">
        <v>3</v>
      </c>
      <c r="I94" t="s">
        <v>411</v>
      </c>
      <c r="J94" t="s">
        <v>412</v>
      </c>
      <c r="K94" t="s">
        <v>413</v>
      </c>
      <c r="L94">
        <v>1339</v>
      </c>
      <c r="N94">
        <v>1007</v>
      </c>
      <c r="O94" t="s">
        <v>160</v>
      </c>
      <c r="P94" t="s">
        <v>160</v>
      </c>
      <c r="Q94">
        <v>1</v>
      </c>
      <c r="W94">
        <v>0</v>
      </c>
      <c r="X94">
        <v>-143474561</v>
      </c>
      <c r="Y94">
        <v>0.225</v>
      </c>
      <c r="AA94">
        <v>2.44</v>
      </c>
      <c r="AB94">
        <v>0</v>
      </c>
      <c r="AC94">
        <v>0</v>
      </c>
      <c r="AD94">
        <v>0</v>
      </c>
      <c r="AE94">
        <v>2.44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0.225</v>
      </c>
      <c r="AV94">
        <v>0</v>
      </c>
      <c r="AW94">
        <v>2</v>
      </c>
      <c r="AX94">
        <v>55643347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Y94*Source!I104</f>
        <v>0.389925</v>
      </c>
      <c r="CY94">
        <f>AA94</f>
        <v>2.44</v>
      </c>
      <c r="CZ94">
        <f>AE94</f>
        <v>2.44</v>
      </c>
      <c r="DA94">
        <f>AI94</f>
        <v>1</v>
      </c>
      <c r="DB94">
        <f>ROUND(ROUND(AT94*CZ94,2),2)</f>
        <v>0.55</v>
      </c>
      <c r="DC94">
        <f>ROUND(ROUND(AT94*AG94,2),2)</f>
        <v>0</v>
      </c>
    </row>
    <row r="95" spans="1:107" ht="12.75">
      <c r="A95">
        <f>ROW(Source!A104)</f>
        <v>104</v>
      </c>
      <c r="B95">
        <v>55463411</v>
      </c>
      <c r="C95">
        <v>55643337</v>
      </c>
      <c r="D95">
        <v>53646147</v>
      </c>
      <c r="E95">
        <v>1</v>
      </c>
      <c r="F95">
        <v>1</v>
      </c>
      <c r="G95">
        <v>1</v>
      </c>
      <c r="H95">
        <v>3</v>
      </c>
      <c r="I95" t="s">
        <v>422</v>
      </c>
      <c r="J95" t="s">
        <v>423</v>
      </c>
      <c r="K95" t="s">
        <v>424</v>
      </c>
      <c r="L95">
        <v>1348</v>
      </c>
      <c r="N95">
        <v>1009</v>
      </c>
      <c r="O95" t="s">
        <v>36</v>
      </c>
      <c r="P95" t="s">
        <v>36</v>
      </c>
      <c r="Q95">
        <v>1000</v>
      </c>
      <c r="W95">
        <v>0</v>
      </c>
      <c r="X95">
        <v>-530082680</v>
      </c>
      <c r="Y95">
        <v>0.05</v>
      </c>
      <c r="AA95">
        <v>2734.6</v>
      </c>
      <c r="AB95">
        <v>0</v>
      </c>
      <c r="AC95">
        <v>0</v>
      </c>
      <c r="AD95">
        <v>0</v>
      </c>
      <c r="AE95">
        <v>2734.6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0.05</v>
      </c>
      <c r="AV95">
        <v>0</v>
      </c>
      <c r="AW95">
        <v>2</v>
      </c>
      <c r="AX95">
        <v>55643348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Y95*Source!I104</f>
        <v>0.08665</v>
      </c>
      <c r="CY95">
        <f>AA95</f>
        <v>2734.6</v>
      </c>
      <c r="CZ95">
        <f>AE95</f>
        <v>2734.6</v>
      </c>
      <c r="DA95">
        <f>AI95</f>
        <v>1</v>
      </c>
      <c r="DB95">
        <f>ROUND(ROUND(AT95*CZ95,2),2)</f>
        <v>136.73</v>
      </c>
      <c r="DC95">
        <f>ROUND(ROUND(AT95*AG95,2),2)</f>
        <v>0</v>
      </c>
    </row>
    <row r="96" spans="1:107" ht="12.75">
      <c r="A96">
        <f>ROW(Source!A104)</f>
        <v>104</v>
      </c>
      <c r="B96">
        <v>55463411</v>
      </c>
      <c r="C96">
        <v>55643337</v>
      </c>
      <c r="D96">
        <v>53647875</v>
      </c>
      <c r="E96">
        <v>1</v>
      </c>
      <c r="F96">
        <v>1</v>
      </c>
      <c r="G96">
        <v>1</v>
      </c>
      <c r="H96">
        <v>3</v>
      </c>
      <c r="I96" t="s">
        <v>217</v>
      </c>
      <c r="J96" t="s">
        <v>219</v>
      </c>
      <c r="K96" t="s">
        <v>218</v>
      </c>
      <c r="L96">
        <v>1339</v>
      </c>
      <c r="N96">
        <v>1007</v>
      </c>
      <c r="O96" t="s">
        <v>160</v>
      </c>
      <c r="P96" t="s">
        <v>160</v>
      </c>
      <c r="Q96">
        <v>1</v>
      </c>
      <c r="W96">
        <v>0</v>
      </c>
      <c r="X96">
        <v>1410907061</v>
      </c>
      <c r="Y96">
        <v>3.1</v>
      </c>
      <c r="AA96">
        <v>424.88</v>
      </c>
      <c r="AB96">
        <v>0</v>
      </c>
      <c r="AC96">
        <v>0</v>
      </c>
      <c r="AD96">
        <v>0</v>
      </c>
      <c r="AE96">
        <v>424.88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3.1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Y96*Source!I104</f>
        <v>5.3723</v>
      </c>
      <c r="CY96">
        <f>AA96</f>
        <v>424.88</v>
      </c>
      <c r="CZ96">
        <f>AE96</f>
        <v>424.88</v>
      </c>
      <c r="DA96">
        <f>AI96</f>
        <v>1</v>
      </c>
      <c r="DB96">
        <f>ROUND(ROUND(AT96*CZ96,2),2)</f>
        <v>1317.13</v>
      </c>
      <c r="DC96">
        <f>ROUND(ROUND(AT96*AG96,2),2)</f>
        <v>0</v>
      </c>
    </row>
    <row r="97" spans="1:107" ht="12.75">
      <c r="A97">
        <f>ROW(Source!A105)</f>
        <v>105</v>
      </c>
      <c r="B97">
        <v>55463412</v>
      </c>
      <c r="C97">
        <v>55643337</v>
      </c>
      <c r="D97">
        <v>37822896</v>
      </c>
      <c r="E97">
        <v>70</v>
      </c>
      <c r="F97">
        <v>1</v>
      </c>
      <c r="G97">
        <v>1</v>
      </c>
      <c r="H97">
        <v>1</v>
      </c>
      <c r="I97" t="s">
        <v>355</v>
      </c>
      <c r="K97" t="s">
        <v>356</v>
      </c>
      <c r="L97">
        <v>1191</v>
      </c>
      <c r="N97">
        <v>1013</v>
      </c>
      <c r="O97" t="s">
        <v>357</v>
      </c>
      <c r="P97" t="s">
        <v>357</v>
      </c>
      <c r="Q97">
        <v>1</v>
      </c>
      <c r="W97">
        <v>0</v>
      </c>
      <c r="X97">
        <v>1049124552</v>
      </c>
      <c r="Y97">
        <v>43.93</v>
      </c>
      <c r="AA97">
        <v>0</v>
      </c>
      <c r="AB97">
        <v>0</v>
      </c>
      <c r="AC97">
        <v>0</v>
      </c>
      <c r="AD97">
        <v>311.09</v>
      </c>
      <c r="AE97">
        <v>0</v>
      </c>
      <c r="AF97">
        <v>0</v>
      </c>
      <c r="AG97">
        <v>0</v>
      </c>
      <c r="AH97">
        <v>8.53</v>
      </c>
      <c r="AI97">
        <v>1</v>
      </c>
      <c r="AJ97">
        <v>1</v>
      </c>
      <c r="AK97">
        <v>1</v>
      </c>
      <c r="AL97">
        <v>36.47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38.2</v>
      </c>
      <c r="AU97" t="s">
        <v>57</v>
      </c>
      <c r="AV97">
        <v>1</v>
      </c>
      <c r="AW97">
        <v>2</v>
      </c>
      <c r="AX97">
        <v>55643344</v>
      </c>
      <c r="AY97">
        <v>1</v>
      </c>
      <c r="AZ97">
        <v>0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Y97*Source!I105</f>
        <v>76.13069</v>
      </c>
      <c r="CY97">
        <f>AD97</f>
        <v>311.09</v>
      </c>
      <c r="CZ97">
        <f>AH97</f>
        <v>8.53</v>
      </c>
      <c r="DA97">
        <f>AL97</f>
        <v>36.47</v>
      </c>
      <c r="DB97">
        <f>ROUND((ROUND(AT97*CZ97,2)*ROUND(1.15,7)),2)</f>
        <v>374.73</v>
      </c>
      <c r="DC97">
        <f>ROUND((ROUND(AT97*AG97,2)*ROUND(1.15,7)),2)</f>
        <v>0</v>
      </c>
    </row>
    <row r="98" spans="1:107" ht="12.75">
      <c r="A98">
        <f>ROW(Source!A105)</f>
        <v>105</v>
      </c>
      <c r="B98">
        <v>55463412</v>
      </c>
      <c r="C98">
        <v>55643337</v>
      </c>
      <c r="D98">
        <v>37822850</v>
      </c>
      <c r="E98">
        <v>70</v>
      </c>
      <c r="F98">
        <v>1</v>
      </c>
      <c r="G98">
        <v>1</v>
      </c>
      <c r="H98">
        <v>1</v>
      </c>
      <c r="I98" t="s">
        <v>358</v>
      </c>
      <c r="K98" t="s">
        <v>359</v>
      </c>
      <c r="L98">
        <v>1191</v>
      </c>
      <c r="N98">
        <v>1013</v>
      </c>
      <c r="O98" t="s">
        <v>357</v>
      </c>
      <c r="P98" t="s">
        <v>357</v>
      </c>
      <c r="Q98">
        <v>1</v>
      </c>
      <c r="W98">
        <v>0</v>
      </c>
      <c r="X98">
        <v>-1417349443</v>
      </c>
      <c r="Y98">
        <v>0.5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36.47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0.4</v>
      </c>
      <c r="AU98" t="s">
        <v>56</v>
      </c>
      <c r="AV98">
        <v>2</v>
      </c>
      <c r="AW98">
        <v>2</v>
      </c>
      <c r="AX98">
        <v>55643345</v>
      </c>
      <c r="AY98">
        <v>1</v>
      </c>
      <c r="AZ98">
        <v>0</v>
      </c>
      <c r="BA98">
        <v>96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Y98*Source!I105</f>
        <v>0.8665</v>
      </c>
      <c r="CY98">
        <f>AD98</f>
        <v>0</v>
      </c>
      <c r="CZ98">
        <f>AH98</f>
        <v>0</v>
      </c>
      <c r="DA98">
        <f>AL98</f>
        <v>1</v>
      </c>
      <c r="DB98">
        <f>ROUND((ROUND(AT98*CZ98,2)*ROUND(1.25,7)),2)</f>
        <v>0</v>
      </c>
      <c r="DC98">
        <f>ROUND((ROUND(AT98*AG98,2)*ROUND(1.25,7)),2)</f>
        <v>0</v>
      </c>
    </row>
    <row r="99" spans="1:107" ht="12.75">
      <c r="A99">
        <f>ROW(Source!A105)</f>
        <v>105</v>
      </c>
      <c r="B99">
        <v>55463412</v>
      </c>
      <c r="C99">
        <v>55643337</v>
      </c>
      <c r="D99">
        <v>53792927</v>
      </c>
      <c r="E99">
        <v>1</v>
      </c>
      <c r="F99">
        <v>1</v>
      </c>
      <c r="G99">
        <v>1</v>
      </c>
      <c r="H99">
        <v>2</v>
      </c>
      <c r="I99" t="s">
        <v>390</v>
      </c>
      <c r="J99" t="s">
        <v>391</v>
      </c>
      <c r="K99" t="s">
        <v>392</v>
      </c>
      <c r="L99">
        <v>1367</v>
      </c>
      <c r="N99">
        <v>1011</v>
      </c>
      <c r="O99" t="s">
        <v>363</v>
      </c>
      <c r="P99" t="s">
        <v>363</v>
      </c>
      <c r="Q99">
        <v>1</v>
      </c>
      <c r="W99">
        <v>0</v>
      </c>
      <c r="X99">
        <v>509054691</v>
      </c>
      <c r="Y99">
        <v>0.5</v>
      </c>
      <c r="AA99">
        <v>0</v>
      </c>
      <c r="AB99">
        <v>852.26</v>
      </c>
      <c r="AC99">
        <v>423.05</v>
      </c>
      <c r="AD99">
        <v>0</v>
      </c>
      <c r="AE99">
        <v>0</v>
      </c>
      <c r="AF99">
        <v>65.71</v>
      </c>
      <c r="AG99">
        <v>11.6</v>
      </c>
      <c r="AH99">
        <v>0</v>
      </c>
      <c r="AI99">
        <v>1</v>
      </c>
      <c r="AJ99">
        <v>12.97</v>
      </c>
      <c r="AK99">
        <v>36.47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0.4</v>
      </c>
      <c r="AU99" t="s">
        <v>56</v>
      </c>
      <c r="AV99">
        <v>0</v>
      </c>
      <c r="AW99">
        <v>2</v>
      </c>
      <c r="AX99">
        <v>55643346</v>
      </c>
      <c r="AY99">
        <v>1</v>
      </c>
      <c r="AZ99">
        <v>0</v>
      </c>
      <c r="BA99">
        <v>97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Y99*Source!I105</f>
        <v>0.8665</v>
      </c>
      <c r="CY99">
        <f>AB99</f>
        <v>852.26</v>
      </c>
      <c r="CZ99">
        <f>AF99</f>
        <v>65.71</v>
      </c>
      <c r="DA99">
        <f>AJ99</f>
        <v>12.97</v>
      </c>
      <c r="DB99">
        <f>ROUND((ROUND(AT99*CZ99,2)*ROUND(1.25,7)),2)</f>
        <v>32.85</v>
      </c>
      <c r="DC99">
        <f>ROUND((ROUND(AT99*AG99,2)*ROUND(1.25,7)),2)</f>
        <v>5.8</v>
      </c>
    </row>
    <row r="100" spans="1:107" ht="12.75">
      <c r="A100">
        <f>ROW(Source!A105)</f>
        <v>105</v>
      </c>
      <c r="B100">
        <v>55463412</v>
      </c>
      <c r="C100">
        <v>55643337</v>
      </c>
      <c r="D100">
        <v>53642555</v>
      </c>
      <c r="E100">
        <v>1</v>
      </c>
      <c r="F100">
        <v>1</v>
      </c>
      <c r="G100">
        <v>1</v>
      </c>
      <c r="H100">
        <v>3</v>
      </c>
      <c r="I100" t="s">
        <v>411</v>
      </c>
      <c r="J100" t="s">
        <v>412</v>
      </c>
      <c r="K100" t="s">
        <v>413</v>
      </c>
      <c r="L100">
        <v>1339</v>
      </c>
      <c r="N100">
        <v>1007</v>
      </c>
      <c r="O100" t="s">
        <v>160</v>
      </c>
      <c r="P100" t="s">
        <v>160</v>
      </c>
      <c r="Q100">
        <v>1</v>
      </c>
      <c r="W100">
        <v>0</v>
      </c>
      <c r="X100">
        <v>-143474561</v>
      </c>
      <c r="Y100">
        <v>0.225</v>
      </c>
      <c r="AA100">
        <v>16.64</v>
      </c>
      <c r="AB100">
        <v>0</v>
      </c>
      <c r="AC100">
        <v>0</v>
      </c>
      <c r="AD100">
        <v>0</v>
      </c>
      <c r="AE100">
        <v>2.44</v>
      </c>
      <c r="AF100">
        <v>0</v>
      </c>
      <c r="AG100">
        <v>0</v>
      </c>
      <c r="AH100">
        <v>0</v>
      </c>
      <c r="AI100">
        <v>6.82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0.225</v>
      </c>
      <c r="AV100">
        <v>0</v>
      </c>
      <c r="AW100">
        <v>2</v>
      </c>
      <c r="AX100">
        <v>55643347</v>
      </c>
      <c r="AY100">
        <v>1</v>
      </c>
      <c r="AZ100">
        <v>0</v>
      </c>
      <c r="BA100">
        <v>98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Y100*Source!I105</f>
        <v>0.389925</v>
      </c>
      <c r="CY100">
        <f>AA100</f>
        <v>16.64</v>
      </c>
      <c r="CZ100">
        <f>AE100</f>
        <v>2.44</v>
      </c>
      <c r="DA100">
        <f>AI100</f>
        <v>6.82</v>
      </c>
      <c r="DB100">
        <f>ROUND(ROUND(AT100*CZ100,2),2)</f>
        <v>0.55</v>
      </c>
      <c r="DC100">
        <f>ROUND(ROUND(AT100*AG100,2),2)</f>
        <v>0</v>
      </c>
    </row>
    <row r="101" spans="1:107" ht="12.75">
      <c r="A101">
        <f>ROW(Source!A105)</f>
        <v>105</v>
      </c>
      <c r="B101">
        <v>55463412</v>
      </c>
      <c r="C101">
        <v>55643337</v>
      </c>
      <c r="D101">
        <v>53646147</v>
      </c>
      <c r="E101">
        <v>1</v>
      </c>
      <c r="F101">
        <v>1</v>
      </c>
      <c r="G101">
        <v>1</v>
      </c>
      <c r="H101">
        <v>3</v>
      </c>
      <c r="I101" t="s">
        <v>422</v>
      </c>
      <c r="J101" t="s">
        <v>423</v>
      </c>
      <c r="K101" t="s">
        <v>424</v>
      </c>
      <c r="L101">
        <v>1348</v>
      </c>
      <c r="N101">
        <v>1009</v>
      </c>
      <c r="O101" t="s">
        <v>36</v>
      </c>
      <c r="P101" t="s">
        <v>36</v>
      </c>
      <c r="Q101">
        <v>1000</v>
      </c>
      <c r="W101">
        <v>0</v>
      </c>
      <c r="X101">
        <v>-530082680</v>
      </c>
      <c r="Y101">
        <v>0.05</v>
      </c>
      <c r="AA101">
        <v>18649.97</v>
      </c>
      <c r="AB101">
        <v>0</v>
      </c>
      <c r="AC101">
        <v>0</v>
      </c>
      <c r="AD101">
        <v>0</v>
      </c>
      <c r="AE101">
        <v>2734.6</v>
      </c>
      <c r="AF101">
        <v>0</v>
      </c>
      <c r="AG101">
        <v>0</v>
      </c>
      <c r="AH101">
        <v>0</v>
      </c>
      <c r="AI101">
        <v>6.82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0.05</v>
      </c>
      <c r="AV101">
        <v>0</v>
      </c>
      <c r="AW101">
        <v>2</v>
      </c>
      <c r="AX101">
        <v>55643348</v>
      </c>
      <c r="AY101">
        <v>1</v>
      </c>
      <c r="AZ101">
        <v>0</v>
      </c>
      <c r="BA101">
        <v>99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Y101*Source!I105</f>
        <v>0.08665</v>
      </c>
      <c r="CY101">
        <f>AA101</f>
        <v>18649.97</v>
      </c>
      <c r="CZ101">
        <f>AE101</f>
        <v>2734.6</v>
      </c>
      <c r="DA101">
        <f>AI101</f>
        <v>6.82</v>
      </c>
      <c r="DB101">
        <f>ROUND(ROUND(AT101*CZ101,2),2)</f>
        <v>136.73</v>
      </c>
      <c r="DC101">
        <f>ROUND(ROUND(AT101*AG101,2),2)</f>
        <v>0</v>
      </c>
    </row>
    <row r="102" spans="1:107" ht="12.75">
      <c r="A102">
        <f>ROW(Source!A105)</f>
        <v>105</v>
      </c>
      <c r="B102">
        <v>55463412</v>
      </c>
      <c r="C102">
        <v>55643337</v>
      </c>
      <c r="D102">
        <v>53647875</v>
      </c>
      <c r="E102">
        <v>1</v>
      </c>
      <c r="F102">
        <v>1</v>
      </c>
      <c r="G102">
        <v>1</v>
      </c>
      <c r="H102">
        <v>3</v>
      </c>
      <c r="I102" t="s">
        <v>217</v>
      </c>
      <c r="J102" t="s">
        <v>219</v>
      </c>
      <c r="K102" t="s">
        <v>218</v>
      </c>
      <c r="L102">
        <v>1339</v>
      </c>
      <c r="N102">
        <v>1007</v>
      </c>
      <c r="O102" t="s">
        <v>160</v>
      </c>
      <c r="P102" t="s">
        <v>160</v>
      </c>
      <c r="Q102">
        <v>1</v>
      </c>
      <c r="W102">
        <v>0</v>
      </c>
      <c r="X102">
        <v>1410907061</v>
      </c>
      <c r="Y102">
        <v>3.1</v>
      </c>
      <c r="AA102">
        <v>2897.68</v>
      </c>
      <c r="AB102">
        <v>0</v>
      </c>
      <c r="AC102">
        <v>0</v>
      </c>
      <c r="AD102">
        <v>0</v>
      </c>
      <c r="AE102">
        <v>424.88</v>
      </c>
      <c r="AF102">
        <v>0</v>
      </c>
      <c r="AG102">
        <v>0</v>
      </c>
      <c r="AH102">
        <v>0</v>
      </c>
      <c r="AI102">
        <v>6.82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3.1</v>
      </c>
      <c r="AV102">
        <v>0</v>
      </c>
      <c r="AW102">
        <v>1</v>
      </c>
      <c r="AX102">
        <v>-1</v>
      </c>
      <c r="AY102">
        <v>0</v>
      </c>
      <c r="AZ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Y102*Source!I105</f>
        <v>5.3723</v>
      </c>
      <c r="CY102">
        <f>AA102</f>
        <v>2897.68</v>
      </c>
      <c r="CZ102">
        <f>AE102</f>
        <v>424.88</v>
      </c>
      <c r="DA102">
        <f>AI102</f>
        <v>6.82</v>
      </c>
      <c r="DB102">
        <f>ROUND(ROUND(AT102*CZ102,2),2)</f>
        <v>1317.13</v>
      </c>
      <c r="DC102">
        <f>ROUND(ROUND(AT102*AG102,2),2)</f>
        <v>0</v>
      </c>
    </row>
    <row r="103" spans="1:107" ht="12.75">
      <c r="A103">
        <f>ROW(Source!A108)</f>
        <v>108</v>
      </c>
      <c r="B103">
        <v>55463411</v>
      </c>
      <c r="C103">
        <v>55463808</v>
      </c>
      <c r="D103">
        <v>37822895</v>
      </c>
      <c r="E103">
        <v>1</v>
      </c>
      <c r="F103">
        <v>1</v>
      </c>
      <c r="G103">
        <v>1</v>
      </c>
      <c r="H103">
        <v>1</v>
      </c>
      <c r="I103" t="s">
        <v>425</v>
      </c>
      <c r="K103" t="s">
        <v>426</v>
      </c>
      <c r="L103">
        <v>1191</v>
      </c>
      <c r="N103">
        <v>1013</v>
      </c>
      <c r="O103" t="s">
        <v>357</v>
      </c>
      <c r="P103" t="s">
        <v>357</v>
      </c>
      <c r="Q103">
        <v>1</v>
      </c>
      <c r="W103">
        <v>0</v>
      </c>
      <c r="X103">
        <v>-608433632</v>
      </c>
      <c r="Y103">
        <v>87.49199999999999</v>
      </c>
      <c r="AA103">
        <v>0</v>
      </c>
      <c r="AB103">
        <v>0</v>
      </c>
      <c r="AC103">
        <v>0</v>
      </c>
      <c r="AD103">
        <v>8.46</v>
      </c>
      <c r="AE103">
        <v>0</v>
      </c>
      <c r="AF103">
        <v>0</v>
      </c>
      <c r="AG103">
        <v>0</v>
      </c>
      <c r="AH103">
        <v>8.46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76.08</v>
      </c>
      <c r="AU103" t="s">
        <v>57</v>
      </c>
      <c r="AV103">
        <v>1</v>
      </c>
      <c r="AW103">
        <v>2</v>
      </c>
      <c r="AX103">
        <v>55463817</v>
      </c>
      <c r="AY103">
        <v>1</v>
      </c>
      <c r="AZ103">
        <v>6144</v>
      </c>
      <c r="BA103">
        <v>101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Y103*Source!I108</f>
        <v>52.49519999999999</v>
      </c>
      <c r="CY103">
        <f>AD103</f>
        <v>8.46</v>
      </c>
      <c r="CZ103">
        <f>AH103</f>
        <v>8.46</v>
      </c>
      <c r="DA103">
        <f>AL103</f>
        <v>1</v>
      </c>
      <c r="DB103">
        <f>ROUND((ROUND(AT103*CZ103,2)*ROUND(1.15,7)),2)</f>
        <v>740.19</v>
      </c>
      <c r="DC103">
        <f>ROUND((ROUND(AT103*AG103,2)*ROUND(1.15,7)),2)</f>
        <v>0</v>
      </c>
    </row>
    <row r="104" spans="1:107" ht="12.75">
      <c r="A104">
        <f>ROW(Source!A108)</f>
        <v>108</v>
      </c>
      <c r="B104">
        <v>55463411</v>
      </c>
      <c r="C104">
        <v>55463808</v>
      </c>
      <c r="D104">
        <v>37822850</v>
      </c>
      <c r="E104">
        <v>1</v>
      </c>
      <c r="F104">
        <v>1</v>
      </c>
      <c r="G104">
        <v>1</v>
      </c>
      <c r="H104">
        <v>1</v>
      </c>
      <c r="I104" t="s">
        <v>358</v>
      </c>
      <c r="K104" t="s">
        <v>359</v>
      </c>
      <c r="L104">
        <v>1191</v>
      </c>
      <c r="N104">
        <v>1013</v>
      </c>
      <c r="O104" t="s">
        <v>357</v>
      </c>
      <c r="P104" t="s">
        <v>357</v>
      </c>
      <c r="Q104">
        <v>1</v>
      </c>
      <c r="W104">
        <v>0</v>
      </c>
      <c r="X104">
        <v>-1417349443</v>
      </c>
      <c r="Y104">
        <v>0.8999999999999999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0.72</v>
      </c>
      <c r="AU104" t="s">
        <v>56</v>
      </c>
      <c r="AV104">
        <v>2</v>
      </c>
      <c r="AW104">
        <v>2</v>
      </c>
      <c r="AX104">
        <v>55463818</v>
      </c>
      <c r="AY104">
        <v>1</v>
      </c>
      <c r="AZ104">
        <v>6144</v>
      </c>
      <c r="BA104">
        <v>102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Y104*Source!I108</f>
        <v>0.5399999999999999</v>
      </c>
      <c r="CY104">
        <f>AD104</f>
        <v>0</v>
      </c>
      <c r="CZ104">
        <f>AH104</f>
        <v>0</v>
      </c>
      <c r="DA104">
        <f>AL104</f>
        <v>1</v>
      </c>
      <c r="DB104">
        <f>ROUND((ROUND(AT104*CZ104,2)*ROUND(1.25,7)),2)</f>
        <v>0</v>
      </c>
      <c r="DC104">
        <f>ROUND((ROUND(AT104*AG104,2)*ROUND(1.25,7)),2)</f>
        <v>0</v>
      </c>
    </row>
    <row r="105" spans="1:107" ht="12.75">
      <c r="A105">
        <f>ROW(Source!A108)</f>
        <v>108</v>
      </c>
      <c r="B105">
        <v>55463411</v>
      </c>
      <c r="C105">
        <v>55463808</v>
      </c>
      <c r="D105">
        <v>44976260</v>
      </c>
      <c r="E105">
        <v>1</v>
      </c>
      <c r="F105">
        <v>1</v>
      </c>
      <c r="G105">
        <v>1</v>
      </c>
      <c r="H105">
        <v>2</v>
      </c>
      <c r="I105" t="s">
        <v>427</v>
      </c>
      <c r="J105" t="s">
        <v>428</v>
      </c>
      <c r="K105" t="s">
        <v>429</v>
      </c>
      <c r="L105">
        <v>1368</v>
      </c>
      <c r="N105">
        <v>1011</v>
      </c>
      <c r="O105" t="s">
        <v>371</v>
      </c>
      <c r="P105" t="s">
        <v>371</v>
      </c>
      <c r="Q105">
        <v>1</v>
      </c>
      <c r="W105">
        <v>0</v>
      </c>
      <c r="X105">
        <v>1137571821</v>
      </c>
      <c r="Y105">
        <v>0.8500000000000001</v>
      </c>
      <c r="AA105">
        <v>0</v>
      </c>
      <c r="AB105">
        <v>111.99</v>
      </c>
      <c r="AC105">
        <v>13.5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0.68</v>
      </c>
      <c r="AU105" t="s">
        <v>56</v>
      </c>
      <c r="AV105">
        <v>0</v>
      </c>
      <c r="AW105">
        <v>1</v>
      </c>
      <c r="AX105">
        <v>-1</v>
      </c>
      <c r="AY105">
        <v>0</v>
      </c>
      <c r="AZ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Y105*Source!I108</f>
        <v>0.51</v>
      </c>
      <c r="CY105">
        <f>AB105</f>
        <v>111.99</v>
      </c>
      <c r="CZ105">
        <f>AF105</f>
        <v>111.99</v>
      </c>
      <c r="DA105">
        <f>AJ105</f>
        <v>1</v>
      </c>
      <c r="DB105">
        <f>ROUND((ROUND(AT105*CZ105,2)*ROUND(1.25,7)),2)</f>
        <v>95.19</v>
      </c>
      <c r="DC105">
        <f>ROUND((ROUND(AT105*AG105,2)*ROUND(1.25,7)),2)</f>
        <v>11.48</v>
      </c>
    </row>
    <row r="106" spans="1:107" ht="12.75">
      <c r="A106">
        <f>ROW(Source!A108)</f>
        <v>108</v>
      </c>
      <c r="B106">
        <v>55463411</v>
      </c>
      <c r="C106">
        <v>55463808</v>
      </c>
      <c r="D106">
        <v>44977280</v>
      </c>
      <c r="E106">
        <v>1</v>
      </c>
      <c r="F106">
        <v>1</v>
      </c>
      <c r="G106">
        <v>1</v>
      </c>
      <c r="H106">
        <v>2</v>
      </c>
      <c r="I106" t="s">
        <v>390</v>
      </c>
      <c r="J106" t="s">
        <v>391</v>
      </c>
      <c r="K106" t="s">
        <v>392</v>
      </c>
      <c r="L106">
        <v>1368</v>
      </c>
      <c r="N106">
        <v>1011</v>
      </c>
      <c r="O106" t="s">
        <v>371</v>
      </c>
      <c r="P106" t="s">
        <v>371</v>
      </c>
      <c r="Q106">
        <v>1</v>
      </c>
      <c r="W106">
        <v>0</v>
      </c>
      <c r="X106">
        <v>-1057454432</v>
      </c>
      <c r="Y106">
        <v>0.05</v>
      </c>
      <c r="AA106">
        <v>0</v>
      </c>
      <c r="AB106">
        <v>65.71</v>
      </c>
      <c r="AC106">
        <v>11.6</v>
      </c>
      <c r="AD106">
        <v>0</v>
      </c>
      <c r="AE106">
        <v>0</v>
      </c>
      <c r="AF106">
        <v>65.71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0.04</v>
      </c>
      <c r="AU106" t="s">
        <v>56</v>
      </c>
      <c r="AV106">
        <v>0</v>
      </c>
      <c r="AW106">
        <v>2</v>
      </c>
      <c r="AX106">
        <v>55463820</v>
      </c>
      <c r="AY106">
        <v>1</v>
      </c>
      <c r="AZ106">
        <v>0</v>
      </c>
      <c r="BA106">
        <v>104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Y106*Source!I108</f>
        <v>0.03</v>
      </c>
      <c r="CY106">
        <f>AB106</f>
        <v>65.71</v>
      </c>
      <c r="CZ106">
        <f>AF106</f>
        <v>65.71</v>
      </c>
      <c r="DA106">
        <f>AJ106</f>
        <v>1</v>
      </c>
      <c r="DB106">
        <f>ROUND((ROUND(AT106*CZ106,2)*ROUND(1.25,7)),2)</f>
        <v>3.29</v>
      </c>
      <c r="DC106">
        <f>ROUND((ROUND(AT106*AG106,2)*ROUND(1.25,7)),2)</f>
        <v>0.58</v>
      </c>
    </row>
    <row r="107" spans="1:107" ht="12.75">
      <c r="A107">
        <f>ROW(Source!A108)</f>
        <v>108</v>
      </c>
      <c r="B107">
        <v>55463411</v>
      </c>
      <c r="C107">
        <v>55463808</v>
      </c>
      <c r="D107">
        <v>44815200</v>
      </c>
      <c r="E107">
        <v>1</v>
      </c>
      <c r="F107">
        <v>1</v>
      </c>
      <c r="G107">
        <v>1</v>
      </c>
      <c r="H107">
        <v>3</v>
      </c>
      <c r="I107" t="s">
        <v>430</v>
      </c>
      <c r="J107" t="s">
        <v>431</v>
      </c>
      <c r="K107" t="s">
        <v>432</v>
      </c>
      <c r="L107">
        <v>1348</v>
      </c>
      <c r="N107">
        <v>1009</v>
      </c>
      <c r="O107" t="s">
        <v>36</v>
      </c>
      <c r="P107" t="s">
        <v>36</v>
      </c>
      <c r="Q107">
        <v>1000</v>
      </c>
      <c r="W107">
        <v>0</v>
      </c>
      <c r="X107">
        <v>1737712510</v>
      </c>
      <c r="Y107">
        <v>0.001</v>
      </c>
      <c r="AA107">
        <v>11978</v>
      </c>
      <c r="AB107">
        <v>0</v>
      </c>
      <c r="AC107">
        <v>0</v>
      </c>
      <c r="AD107">
        <v>0</v>
      </c>
      <c r="AE107">
        <v>11978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0.001</v>
      </c>
      <c r="AV107">
        <v>0</v>
      </c>
      <c r="AW107">
        <v>2</v>
      </c>
      <c r="AX107">
        <v>55463821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Y107*Source!I108</f>
        <v>0.0006</v>
      </c>
      <c r="CY107">
        <f>AA107</f>
        <v>11978</v>
      </c>
      <c r="CZ107">
        <f>AE107</f>
        <v>11978</v>
      </c>
      <c r="DA107">
        <f>AI107</f>
        <v>1</v>
      </c>
      <c r="DB107">
        <f>ROUND(ROUND(AT107*CZ107,2),2)</f>
        <v>11.98</v>
      </c>
      <c r="DC107">
        <f>ROUND(ROUND(AT107*AG107,2),2)</f>
        <v>0</v>
      </c>
    </row>
    <row r="108" spans="1:107" ht="12.75">
      <c r="A108">
        <f>ROW(Source!A108)</f>
        <v>108</v>
      </c>
      <c r="B108">
        <v>55463411</v>
      </c>
      <c r="C108">
        <v>55463808</v>
      </c>
      <c r="D108">
        <v>44818336</v>
      </c>
      <c r="E108">
        <v>1</v>
      </c>
      <c r="F108">
        <v>1</v>
      </c>
      <c r="G108">
        <v>1</v>
      </c>
      <c r="H108">
        <v>3</v>
      </c>
      <c r="I108" t="s">
        <v>433</v>
      </c>
      <c r="J108" t="s">
        <v>434</v>
      </c>
      <c r="K108" t="s">
        <v>435</v>
      </c>
      <c r="L108">
        <v>1339</v>
      </c>
      <c r="N108">
        <v>1007</v>
      </c>
      <c r="O108" t="s">
        <v>160</v>
      </c>
      <c r="P108" t="s">
        <v>160</v>
      </c>
      <c r="Q108">
        <v>1</v>
      </c>
      <c r="W108">
        <v>0</v>
      </c>
      <c r="X108">
        <v>-883557884</v>
      </c>
      <c r="Y108">
        <v>3.9</v>
      </c>
      <c r="AA108">
        <v>592.76</v>
      </c>
      <c r="AB108">
        <v>0</v>
      </c>
      <c r="AC108">
        <v>0</v>
      </c>
      <c r="AD108">
        <v>0</v>
      </c>
      <c r="AE108">
        <v>592.76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3.9</v>
      </c>
      <c r="AV108">
        <v>0</v>
      </c>
      <c r="AW108">
        <v>2</v>
      </c>
      <c r="AX108">
        <v>55463822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Y108*Source!I108</f>
        <v>2.34</v>
      </c>
      <c r="CY108">
        <f>AA108</f>
        <v>592.76</v>
      </c>
      <c r="CZ108">
        <f>AE108</f>
        <v>592.76</v>
      </c>
      <c r="DA108">
        <f>AI108</f>
        <v>1</v>
      </c>
      <c r="DB108">
        <f>ROUND(ROUND(AT108*CZ108,2),2)</f>
        <v>2311.76</v>
      </c>
      <c r="DC108">
        <f>ROUND(ROUND(AT108*AG108,2),2)</f>
        <v>0</v>
      </c>
    </row>
    <row r="109" spans="1:107" ht="12.75">
      <c r="A109">
        <f>ROW(Source!A108)</f>
        <v>108</v>
      </c>
      <c r="B109">
        <v>55463411</v>
      </c>
      <c r="C109">
        <v>55463808</v>
      </c>
      <c r="D109">
        <v>44818656</v>
      </c>
      <c r="E109">
        <v>1</v>
      </c>
      <c r="F109">
        <v>1</v>
      </c>
      <c r="G109">
        <v>1</v>
      </c>
      <c r="H109">
        <v>3</v>
      </c>
      <c r="I109" t="s">
        <v>158</v>
      </c>
      <c r="J109" t="s">
        <v>161</v>
      </c>
      <c r="K109" t="s">
        <v>159</v>
      </c>
      <c r="L109">
        <v>1339</v>
      </c>
      <c r="N109">
        <v>1007</v>
      </c>
      <c r="O109" t="s">
        <v>160</v>
      </c>
      <c r="P109" t="s">
        <v>160</v>
      </c>
      <c r="Q109">
        <v>1</v>
      </c>
      <c r="W109">
        <v>0</v>
      </c>
      <c r="X109">
        <v>-1455146012</v>
      </c>
      <c r="Y109">
        <v>0.06</v>
      </c>
      <c r="AA109">
        <v>519.8</v>
      </c>
      <c r="AB109">
        <v>0</v>
      </c>
      <c r="AC109">
        <v>0</v>
      </c>
      <c r="AD109">
        <v>0</v>
      </c>
      <c r="AE109">
        <v>519.8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0.06</v>
      </c>
      <c r="AV109">
        <v>0</v>
      </c>
      <c r="AW109">
        <v>2</v>
      </c>
      <c r="AX109">
        <v>55463823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Y109*Source!I108</f>
        <v>0.036</v>
      </c>
      <c r="CY109">
        <f>AA109</f>
        <v>519.8</v>
      </c>
      <c r="CZ109">
        <f>AE109</f>
        <v>519.8</v>
      </c>
      <c r="DA109">
        <f>AI109</f>
        <v>1</v>
      </c>
      <c r="DB109">
        <f>ROUND(ROUND(AT109*CZ109,2),2)</f>
        <v>31.19</v>
      </c>
      <c r="DC109">
        <f>ROUND(ROUND(AT109*AG109,2),2)</f>
        <v>0</v>
      </c>
    </row>
    <row r="110" spans="1:107" ht="12.75">
      <c r="A110">
        <f>ROW(Source!A108)</f>
        <v>108</v>
      </c>
      <c r="B110">
        <v>55463411</v>
      </c>
      <c r="C110">
        <v>55463808</v>
      </c>
      <c r="D110">
        <v>44840450</v>
      </c>
      <c r="E110">
        <v>1</v>
      </c>
      <c r="F110">
        <v>1</v>
      </c>
      <c r="G110">
        <v>1</v>
      </c>
      <c r="H110">
        <v>3</v>
      </c>
      <c r="I110" t="s">
        <v>436</v>
      </c>
      <c r="J110" t="s">
        <v>437</v>
      </c>
      <c r="K110" t="s">
        <v>438</v>
      </c>
      <c r="L110">
        <v>1339</v>
      </c>
      <c r="N110">
        <v>1007</v>
      </c>
      <c r="O110" t="s">
        <v>160</v>
      </c>
      <c r="P110" t="s">
        <v>160</v>
      </c>
      <c r="Q110">
        <v>1</v>
      </c>
      <c r="W110">
        <v>0</v>
      </c>
      <c r="X110">
        <v>-1605213424</v>
      </c>
      <c r="Y110">
        <v>0.17</v>
      </c>
      <c r="AA110">
        <v>880.01</v>
      </c>
      <c r="AB110">
        <v>0</v>
      </c>
      <c r="AC110">
        <v>0</v>
      </c>
      <c r="AD110">
        <v>0</v>
      </c>
      <c r="AE110">
        <v>880.01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0.17</v>
      </c>
      <c r="AV110">
        <v>0</v>
      </c>
      <c r="AW110">
        <v>2</v>
      </c>
      <c r="AX110">
        <v>55463824</v>
      </c>
      <c r="AY110">
        <v>1</v>
      </c>
      <c r="AZ110">
        <v>0</v>
      </c>
      <c r="BA110">
        <v>108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Y110*Source!I108</f>
        <v>0.10200000000000001</v>
      </c>
      <c r="CY110">
        <f>AA110</f>
        <v>880.01</v>
      </c>
      <c r="CZ110">
        <f>AE110</f>
        <v>880.01</v>
      </c>
      <c r="DA110">
        <f>AI110</f>
        <v>1</v>
      </c>
      <c r="DB110">
        <f>ROUND(ROUND(AT110*CZ110,2),2)</f>
        <v>149.6</v>
      </c>
      <c r="DC110">
        <f>ROUND(ROUND(AT110*AG110,2),2)</f>
        <v>0</v>
      </c>
    </row>
    <row r="111" spans="1:107" ht="12.75">
      <c r="A111">
        <f>ROW(Source!A109)</f>
        <v>109</v>
      </c>
      <c r="B111">
        <v>55463412</v>
      </c>
      <c r="C111">
        <v>55463808</v>
      </c>
      <c r="D111">
        <v>37822895</v>
      </c>
      <c r="E111">
        <v>1</v>
      </c>
      <c r="F111">
        <v>1</v>
      </c>
      <c r="G111">
        <v>1</v>
      </c>
      <c r="H111">
        <v>1</v>
      </c>
      <c r="I111" t="s">
        <v>425</v>
      </c>
      <c r="K111" t="s">
        <v>426</v>
      </c>
      <c r="L111">
        <v>1191</v>
      </c>
      <c r="N111">
        <v>1013</v>
      </c>
      <c r="O111" t="s">
        <v>357</v>
      </c>
      <c r="P111" t="s">
        <v>357</v>
      </c>
      <c r="Q111">
        <v>1</v>
      </c>
      <c r="W111">
        <v>0</v>
      </c>
      <c r="X111">
        <v>-608433632</v>
      </c>
      <c r="Y111">
        <v>87.49199999999999</v>
      </c>
      <c r="AA111">
        <v>0</v>
      </c>
      <c r="AB111">
        <v>0</v>
      </c>
      <c r="AC111">
        <v>0</v>
      </c>
      <c r="AD111">
        <v>308.54</v>
      </c>
      <c r="AE111">
        <v>0</v>
      </c>
      <c r="AF111">
        <v>0</v>
      </c>
      <c r="AG111">
        <v>0</v>
      </c>
      <c r="AH111">
        <v>8.46</v>
      </c>
      <c r="AI111">
        <v>1</v>
      </c>
      <c r="AJ111">
        <v>1</v>
      </c>
      <c r="AK111">
        <v>1</v>
      </c>
      <c r="AL111">
        <v>36.47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76.08</v>
      </c>
      <c r="AU111" t="s">
        <v>57</v>
      </c>
      <c r="AV111">
        <v>1</v>
      </c>
      <c r="AW111">
        <v>2</v>
      </c>
      <c r="AX111">
        <v>55463817</v>
      </c>
      <c r="AY111">
        <v>1</v>
      </c>
      <c r="AZ111">
        <v>6144</v>
      </c>
      <c r="BA111">
        <v>110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Y111*Source!I109</f>
        <v>52.49519999999999</v>
      </c>
      <c r="CY111">
        <f>AD111</f>
        <v>308.54</v>
      </c>
      <c r="CZ111">
        <f>AH111</f>
        <v>8.46</v>
      </c>
      <c r="DA111">
        <f>AL111</f>
        <v>36.47</v>
      </c>
      <c r="DB111">
        <f>ROUND((ROUND(AT111*CZ111,2)*ROUND(1.15,7)),2)</f>
        <v>740.19</v>
      </c>
      <c r="DC111">
        <f>ROUND((ROUND(AT111*AG111,2)*ROUND(1.15,7)),2)</f>
        <v>0</v>
      </c>
    </row>
    <row r="112" spans="1:107" ht="12.75">
      <c r="A112">
        <f>ROW(Source!A109)</f>
        <v>109</v>
      </c>
      <c r="B112">
        <v>55463412</v>
      </c>
      <c r="C112">
        <v>55463808</v>
      </c>
      <c r="D112">
        <v>37822850</v>
      </c>
      <c r="E112">
        <v>1</v>
      </c>
      <c r="F112">
        <v>1</v>
      </c>
      <c r="G112">
        <v>1</v>
      </c>
      <c r="H112">
        <v>1</v>
      </c>
      <c r="I112" t="s">
        <v>358</v>
      </c>
      <c r="K112" t="s">
        <v>359</v>
      </c>
      <c r="L112">
        <v>1191</v>
      </c>
      <c r="N112">
        <v>1013</v>
      </c>
      <c r="O112" t="s">
        <v>357</v>
      </c>
      <c r="P112" t="s">
        <v>357</v>
      </c>
      <c r="Q112">
        <v>1</v>
      </c>
      <c r="W112">
        <v>0</v>
      </c>
      <c r="X112">
        <v>-1417349443</v>
      </c>
      <c r="Y112">
        <v>0.8999999999999999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36.47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0.72</v>
      </c>
      <c r="AU112" t="s">
        <v>56</v>
      </c>
      <c r="AV112">
        <v>2</v>
      </c>
      <c r="AW112">
        <v>2</v>
      </c>
      <c r="AX112">
        <v>55463818</v>
      </c>
      <c r="AY112">
        <v>1</v>
      </c>
      <c r="AZ112">
        <v>6144</v>
      </c>
      <c r="BA112">
        <v>111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Y112*Source!I109</f>
        <v>0.5399999999999999</v>
      </c>
      <c r="CY112">
        <f>AD112</f>
        <v>0</v>
      </c>
      <c r="CZ112">
        <f>AH112</f>
        <v>0</v>
      </c>
      <c r="DA112">
        <f>AL112</f>
        <v>1</v>
      </c>
      <c r="DB112">
        <f>ROUND((ROUND(AT112*CZ112,2)*ROUND(1.25,7)),2)</f>
        <v>0</v>
      </c>
      <c r="DC112">
        <f>ROUND((ROUND(AT112*AG112,2)*ROUND(1.25,7)),2)</f>
        <v>0</v>
      </c>
    </row>
    <row r="113" spans="1:107" ht="12.75">
      <c r="A113">
        <f>ROW(Source!A109)</f>
        <v>109</v>
      </c>
      <c r="B113">
        <v>55463412</v>
      </c>
      <c r="C113">
        <v>55463808</v>
      </c>
      <c r="D113">
        <v>44976260</v>
      </c>
      <c r="E113">
        <v>1</v>
      </c>
      <c r="F113">
        <v>1</v>
      </c>
      <c r="G113">
        <v>1</v>
      </c>
      <c r="H113">
        <v>2</v>
      </c>
      <c r="I113" t="s">
        <v>427</v>
      </c>
      <c r="J113" t="s">
        <v>428</v>
      </c>
      <c r="K113" t="s">
        <v>429</v>
      </c>
      <c r="L113">
        <v>1368</v>
      </c>
      <c r="N113">
        <v>1011</v>
      </c>
      <c r="O113" t="s">
        <v>371</v>
      </c>
      <c r="P113" t="s">
        <v>371</v>
      </c>
      <c r="Q113">
        <v>1</v>
      </c>
      <c r="W113">
        <v>0</v>
      </c>
      <c r="X113">
        <v>1137571821</v>
      </c>
      <c r="Y113">
        <v>0.8500000000000001</v>
      </c>
      <c r="AA113">
        <v>0</v>
      </c>
      <c r="AB113">
        <v>1452.51</v>
      </c>
      <c r="AC113">
        <v>492.35</v>
      </c>
      <c r="AD113">
        <v>0</v>
      </c>
      <c r="AE113">
        <v>0</v>
      </c>
      <c r="AF113">
        <v>111.99</v>
      </c>
      <c r="AG113">
        <v>13.5</v>
      </c>
      <c r="AH113">
        <v>0</v>
      </c>
      <c r="AI113">
        <v>1</v>
      </c>
      <c r="AJ113">
        <v>12.97</v>
      </c>
      <c r="AK113">
        <v>36.47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0.68</v>
      </c>
      <c r="AU113" t="s">
        <v>56</v>
      </c>
      <c r="AV113">
        <v>0</v>
      </c>
      <c r="AW113">
        <v>1</v>
      </c>
      <c r="AX113">
        <v>-1</v>
      </c>
      <c r="AY113">
        <v>0</v>
      </c>
      <c r="AZ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Y113*Source!I109</f>
        <v>0.51</v>
      </c>
      <c r="CY113">
        <f>AB113</f>
        <v>1452.51</v>
      </c>
      <c r="CZ113">
        <f>AF113</f>
        <v>111.99</v>
      </c>
      <c r="DA113">
        <f>AJ113</f>
        <v>12.97</v>
      </c>
      <c r="DB113">
        <f>ROUND((ROUND(AT113*CZ113,2)*ROUND(1.25,7)),2)</f>
        <v>95.19</v>
      </c>
      <c r="DC113">
        <f>ROUND((ROUND(AT113*AG113,2)*ROUND(1.25,7)),2)</f>
        <v>11.48</v>
      </c>
    </row>
    <row r="114" spans="1:107" ht="12.75">
      <c r="A114">
        <f>ROW(Source!A109)</f>
        <v>109</v>
      </c>
      <c r="B114">
        <v>55463412</v>
      </c>
      <c r="C114">
        <v>55463808</v>
      </c>
      <c r="D114">
        <v>44977280</v>
      </c>
      <c r="E114">
        <v>1</v>
      </c>
      <c r="F114">
        <v>1</v>
      </c>
      <c r="G114">
        <v>1</v>
      </c>
      <c r="H114">
        <v>2</v>
      </c>
      <c r="I114" t="s">
        <v>390</v>
      </c>
      <c r="J114" t="s">
        <v>391</v>
      </c>
      <c r="K114" t="s">
        <v>392</v>
      </c>
      <c r="L114">
        <v>1368</v>
      </c>
      <c r="N114">
        <v>1011</v>
      </c>
      <c r="O114" t="s">
        <v>371</v>
      </c>
      <c r="P114" t="s">
        <v>371</v>
      </c>
      <c r="Q114">
        <v>1</v>
      </c>
      <c r="W114">
        <v>0</v>
      </c>
      <c r="X114">
        <v>-1057454432</v>
      </c>
      <c r="Y114">
        <v>0.05</v>
      </c>
      <c r="AA114">
        <v>0</v>
      </c>
      <c r="AB114">
        <v>852.26</v>
      </c>
      <c r="AC114">
        <v>423.05</v>
      </c>
      <c r="AD114">
        <v>0</v>
      </c>
      <c r="AE114">
        <v>0</v>
      </c>
      <c r="AF114">
        <v>65.71</v>
      </c>
      <c r="AG114">
        <v>11.6</v>
      </c>
      <c r="AH114">
        <v>0</v>
      </c>
      <c r="AI114">
        <v>1</v>
      </c>
      <c r="AJ114">
        <v>12.97</v>
      </c>
      <c r="AK114">
        <v>36.47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0.04</v>
      </c>
      <c r="AU114" t="s">
        <v>56</v>
      </c>
      <c r="AV114">
        <v>0</v>
      </c>
      <c r="AW114">
        <v>2</v>
      </c>
      <c r="AX114">
        <v>55463820</v>
      </c>
      <c r="AY114">
        <v>1</v>
      </c>
      <c r="AZ114">
        <v>0</v>
      </c>
      <c r="BA114">
        <v>113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Y114*Source!I109</f>
        <v>0.03</v>
      </c>
      <c r="CY114">
        <f>AB114</f>
        <v>852.26</v>
      </c>
      <c r="CZ114">
        <f>AF114</f>
        <v>65.71</v>
      </c>
      <c r="DA114">
        <f>AJ114</f>
        <v>12.97</v>
      </c>
      <c r="DB114">
        <f>ROUND((ROUND(AT114*CZ114,2)*ROUND(1.25,7)),2)</f>
        <v>3.29</v>
      </c>
      <c r="DC114">
        <f>ROUND((ROUND(AT114*AG114,2)*ROUND(1.25,7)),2)</f>
        <v>0.58</v>
      </c>
    </row>
    <row r="115" spans="1:107" ht="12.75">
      <c r="A115">
        <f>ROW(Source!A109)</f>
        <v>109</v>
      </c>
      <c r="B115">
        <v>55463412</v>
      </c>
      <c r="C115">
        <v>55463808</v>
      </c>
      <c r="D115">
        <v>44815200</v>
      </c>
      <c r="E115">
        <v>1</v>
      </c>
      <c r="F115">
        <v>1</v>
      </c>
      <c r="G115">
        <v>1</v>
      </c>
      <c r="H115">
        <v>3</v>
      </c>
      <c r="I115" t="s">
        <v>430</v>
      </c>
      <c r="J115" t="s">
        <v>431</v>
      </c>
      <c r="K115" t="s">
        <v>432</v>
      </c>
      <c r="L115">
        <v>1348</v>
      </c>
      <c r="N115">
        <v>1009</v>
      </c>
      <c r="O115" t="s">
        <v>36</v>
      </c>
      <c r="P115" t="s">
        <v>36</v>
      </c>
      <c r="Q115">
        <v>1000</v>
      </c>
      <c r="W115">
        <v>0</v>
      </c>
      <c r="X115">
        <v>1737712510</v>
      </c>
      <c r="Y115">
        <v>0.001</v>
      </c>
      <c r="AA115">
        <v>81689.96</v>
      </c>
      <c r="AB115">
        <v>0</v>
      </c>
      <c r="AC115">
        <v>0</v>
      </c>
      <c r="AD115">
        <v>0</v>
      </c>
      <c r="AE115">
        <v>11978</v>
      </c>
      <c r="AF115">
        <v>0</v>
      </c>
      <c r="AG115">
        <v>0</v>
      </c>
      <c r="AH115">
        <v>0</v>
      </c>
      <c r="AI115">
        <v>6.82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0.001</v>
      </c>
      <c r="AV115">
        <v>0</v>
      </c>
      <c r="AW115">
        <v>2</v>
      </c>
      <c r="AX115">
        <v>55463821</v>
      </c>
      <c r="AY115">
        <v>1</v>
      </c>
      <c r="AZ115">
        <v>0</v>
      </c>
      <c r="BA115">
        <v>114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Y115*Source!I109</f>
        <v>0.0006</v>
      </c>
      <c r="CY115">
        <f>AA115</f>
        <v>81689.96</v>
      </c>
      <c r="CZ115">
        <f>AE115</f>
        <v>11978</v>
      </c>
      <c r="DA115">
        <f>AI115</f>
        <v>6.82</v>
      </c>
      <c r="DB115">
        <f>ROUND(ROUND(AT115*CZ115,2),2)</f>
        <v>11.98</v>
      </c>
      <c r="DC115">
        <f>ROUND(ROUND(AT115*AG115,2),2)</f>
        <v>0</v>
      </c>
    </row>
    <row r="116" spans="1:107" ht="12.75">
      <c r="A116">
        <f>ROW(Source!A109)</f>
        <v>109</v>
      </c>
      <c r="B116">
        <v>55463412</v>
      </c>
      <c r="C116">
        <v>55463808</v>
      </c>
      <c r="D116">
        <v>44818336</v>
      </c>
      <c r="E116">
        <v>1</v>
      </c>
      <c r="F116">
        <v>1</v>
      </c>
      <c r="G116">
        <v>1</v>
      </c>
      <c r="H116">
        <v>3</v>
      </c>
      <c r="I116" t="s">
        <v>433</v>
      </c>
      <c r="J116" t="s">
        <v>434</v>
      </c>
      <c r="K116" t="s">
        <v>435</v>
      </c>
      <c r="L116">
        <v>1339</v>
      </c>
      <c r="N116">
        <v>1007</v>
      </c>
      <c r="O116" t="s">
        <v>160</v>
      </c>
      <c r="P116" t="s">
        <v>160</v>
      </c>
      <c r="Q116">
        <v>1</v>
      </c>
      <c r="W116">
        <v>0</v>
      </c>
      <c r="X116">
        <v>-883557884</v>
      </c>
      <c r="Y116">
        <v>3.9</v>
      </c>
      <c r="AA116">
        <v>4042.62</v>
      </c>
      <c r="AB116">
        <v>0</v>
      </c>
      <c r="AC116">
        <v>0</v>
      </c>
      <c r="AD116">
        <v>0</v>
      </c>
      <c r="AE116">
        <v>592.76</v>
      </c>
      <c r="AF116">
        <v>0</v>
      </c>
      <c r="AG116">
        <v>0</v>
      </c>
      <c r="AH116">
        <v>0</v>
      </c>
      <c r="AI116">
        <v>6.82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3.9</v>
      </c>
      <c r="AV116">
        <v>0</v>
      </c>
      <c r="AW116">
        <v>2</v>
      </c>
      <c r="AX116">
        <v>55463822</v>
      </c>
      <c r="AY116">
        <v>1</v>
      </c>
      <c r="AZ116">
        <v>0</v>
      </c>
      <c r="BA116">
        <v>115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Y116*Source!I109</f>
        <v>2.34</v>
      </c>
      <c r="CY116">
        <f>AA116</f>
        <v>4042.62</v>
      </c>
      <c r="CZ116">
        <f>AE116</f>
        <v>592.76</v>
      </c>
      <c r="DA116">
        <f>AI116</f>
        <v>6.82</v>
      </c>
      <c r="DB116">
        <f>ROUND(ROUND(AT116*CZ116,2),2)</f>
        <v>2311.76</v>
      </c>
      <c r="DC116">
        <f>ROUND(ROUND(AT116*AG116,2),2)</f>
        <v>0</v>
      </c>
    </row>
    <row r="117" spans="1:107" ht="12.75">
      <c r="A117">
        <f>ROW(Source!A109)</f>
        <v>109</v>
      </c>
      <c r="B117">
        <v>55463412</v>
      </c>
      <c r="C117">
        <v>55463808</v>
      </c>
      <c r="D117">
        <v>44818656</v>
      </c>
      <c r="E117">
        <v>1</v>
      </c>
      <c r="F117">
        <v>1</v>
      </c>
      <c r="G117">
        <v>1</v>
      </c>
      <c r="H117">
        <v>3</v>
      </c>
      <c r="I117" t="s">
        <v>158</v>
      </c>
      <c r="J117" t="s">
        <v>161</v>
      </c>
      <c r="K117" t="s">
        <v>159</v>
      </c>
      <c r="L117">
        <v>1339</v>
      </c>
      <c r="N117">
        <v>1007</v>
      </c>
      <c r="O117" t="s">
        <v>160</v>
      </c>
      <c r="P117" t="s">
        <v>160</v>
      </c>
      <c r="Q117">
        <v>1</v>
      </c>
      <c r="W117">
        <v>0</v>
      </c>
      <c r="X117">
        <v>-1455146012</v>
      </c>
      <c r="Y117">
        <v>0.06</v>
      </c>
      <c r="AA117">
        <v>3545.04</v>
      </c>
      <c r="AB117">
        <v>0</v>
      </c>
      <c r="AC117">
        <v>0</v>
      </c>
      <c r="AD117">
        <v>0</v>
      </c>
      <c r="AE117">
        <v>519.8</v>
      </c>
      <c r="AF117">
        <v>0</v>
      </c>
      <c r="AG117">
        <v>0</v>
      </c>
      <c r="AH117">
        <v>0</v>
      </c>
      <c r="AI117">
        <v>6.82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0.06</v>
      </c>
      <c r="AV117">
        <v>0</v>
      </c>
      <c r="AW117">
        <v>2</v>
      </c>
      <c r="AX117">
        <v>55463823</v>
      </c>
      <c r="AY117">
        <v>1</v>
      </c>
      <c r="AZ117">
        <v>0</v>
      </c>
      <c r="BA117">
        <v>116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Y117*Source!I109</f>
        <v>0.036</v>
      </c>
      <c r="CY117">
        <f>AA117</f>
        <v>3545.04</v>
      </c>
      <c r="CZ117">
        <f>AE117</f>
        <v>519.8</v>
      </c>
      <c r="DA117">
        <f>AI117</f>
        <v>6.82</v>
      </c>
      <c r="DB117">
        <f>ROUND(ROUND(AT117*CZ117,2),2)</f>
        <v>31.19</v>
      </c>
      <c r="DC117">
        <f>ROUND(ROUND(AT117*AG117,2),2)</f>
        <v>0</v>
      </c>
    </row>
    <row r="118" spans="1:107" ht="12.75">
      <c r="A118">
        <f>ROW(Source!A109)</f>
        <v>109</v>
      </c>
      <c r="B118">
        <v>55463412</v>
      </c>
      <c r="C118">
        <v>55463808</v>
      </c>
      <c r="D118">
        <v>44840450</v>
      </c>
      <c r="E118">
        <v>1</v>
      </c>
      <c r="F118">
        <v>1</v>
      </c>
      <c r="G118">
        <v>1</v>
      </c>
      <c r="H118">
        <v>3</v>
      </c>
      <c r="I118" t="s">
        <v>436</v>
      </c>
      <c r="J118" t="s">
        <v>437</v>
      </c>
      <c r="K118" t="s">
        <v>438</v>
      </c>
      <c r="L118">
        <v>1339</v>
      </c>
      <c r="N118">
        <v>1007</v>
      </c>
      <c r="O118" t="s">
        <v>160</v>
      </c>
      <c r="P118" t="s">
        <v>160</v>
      </c>
      <c r="Q118">
        <v>1</v>
      </c>
      <c r="W118">
        <v>0</v>
      </c>
      <c r="X118">
        <v>-1605213424</v>
      </c>
      <c r="Y118">
        <v>0.17</v>
      </c>
      <c r="AA118">
        <v>6001.67</v>
      </c>
      <c r="AB118">
        <v>0</v>
      </c>
      <c r="AC118">
        <v>0</v>
      </c>
      <c r="AD118">
        <v>0</v>
      </c>
      <c r="AE118">
        <v>880.01</v>
      </c>
      <c r="AF118">
        <v>0</v>
      </c>
      <c r="AG118">
        <v>0</v>
      </c>
      <c r="AH118">
        <v>0</v>
      </c>
      <c r="AI118">
        <v>6.82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0.17</v>
      </c>
      <c r="AV118">
        <v>0</v>
      </c>
      <c r="AW118">
        <v>2</v>
      </c>
      <c r="AX118">
        <v>55463824</v>
      </c>
      <c r="AY118">
        <v>1</v>
      </c>
      <c r="AZ118">
        <v>0</v>
      </c>
      <c r="BA118">
        <v>117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Y118*Source!I109</f>
        <v>0.10200000000000001</v>
      </c>
      <c r="CY118">
        <f>AA118</f>
        <v>6001.67</v>
      </c>
      <c r="CZ118">
        <f>AE118</f>
        <v>880.01</v>
      </c>
      <c r="DA118">
        <f>AI118</f>
        <v>6.82</v>
      </c>
      <c r="DB118">
        <f>ROUND(ROUND(AT118*CZ118,2),2)</f>
        <v>149.6</v>
      </c>
      <c r="DC118">
        <f>ROUND(ROUND(AT118*AG118,2),2)</f>
        <v>0</v>
      </c>
    </row>
    <row r="119" spans="1:107" ht="12.75">
      <c r="A119">
        <f>ROW(Source!A110)</f>
        <v>110</v>
      </c>
      <c r="B119">
        <v>55463411</v>
      </c>
      <c r="C119">
        <v>55463826</v>
      </c>
      <c r="D119">
        <v>44800259</v>
      </c>
      <c r="E119">
        <v>54</v>
      </c>
      <c r="F119">
        <v>1</v>
      </c>
      <c r="G119">
        <v>1</v>
      </c>
      <c r="H119">
        <v>1</v>
      </c>
      <c r="I119" t="s">
        <v>439</v>
      </c>
      <c r="K119" t="s">
        <v>440</v>
      </c>
      <c r="L119">
        <v>1191</v>
      </c>
      <c r="N119">
        <v>1013</v>
      </c>
      <c r="O119" t="s">
        <v>357</v>
      </c>
      <c r="P119" t="s">
        <v>357</v>
      </c>
      <c r="Q119">
        <v>1</v>
      </c>
      <c r="W119">
        <v>0</v>
      </c>
      <c r="X119">
        <v>-719309759</v>
      </c>
      <c r="Y119">
        <v>197.48949999999996</v>
      </c>
      <c r="AA119">
        <v>0</v>
      </c>
      <c r="AB119">
        <v>0</v>
      </c>
      <c r="AC119">
        <v>0</v>
      </c>
      <c r="AD119">
        <v>8.86</v>
      </c>
      <c r="AE119">
        <v>0</v>
      </c>
      <c r="AF119">
        <v>0</v>
      </c>
      <c r="AG119">
        <v>0</v>
      </c>
      <c r="AH119">
        <v>8.86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171.73</v>
      </c>
      <c r="AU119" t="s">
        <v>57</v>
      </c>
      <c r="AV119">
        <v>1</v>
      </c>
      <c r="AW119">
        <v>2</v>
      </c>
      <c r="AX119">
        <v>55463837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Y119*Source!I110</f>
        <v>342.24930349999994</v>
      </c>
      <c r="CY119">
        <f>AD119</f>
        <v>8.86</v>
      </c>
      <c r="CZ119">
        <f>AH119</f>
        <v>8.86</v>
      </c>
      <c r="DA119">
        <f>AL119</f>
        <v>1</v>
      </c>
      <c r="DB119">
        <f>ROUND((ROUND(AT119*CZ119,2)*ROUND(1.15,7)),2)</f>
        <v>1749.76</v>
      </c>
      <c r="DC119">
        <f>ROUND((ROUND(AT119*AG119,2)*ROUND(1.15,7)),2)</f>
        <v>0</v>
      </c>
    </row>
    <row r="120" spans="1:107" ht="12.75">
      <c r="A120">
        <f>ROW(Source!A110)</f>
        <v>110</v>
      </c>
      <c r="B120">
        <v>55463411</v>
      </c>
      <c r="C120">
        <v>55463826</v>
      </c>
      <c r="D120">
        <v>44800452</v>
      </c>
      <c r="E120">
        <v>54</v>
      </c>
      <c r="F120">
        <v>1</v>
      </c>
      <c r="G120">
        <v>1</v>
      </c>
      <c r="H120">
        <v>1</v>
      </c>
      <c r="I120" t="s">
        <v>358</v>
      </c>
      <c r="K120" t="s">
        <v>359</v>
      </c>
      <c r="L120">
        <v>1191</v>
      </c>
      <c r="N120">
        <v>1013</v>
      </c>
      <c r="O120" t="s">
        <v>357</v>
      </c>
      <c r="P120" t="s">
        <v>357</v>
      </c>
      <c r="Q120">
        <v>1</v>
      </c>
      <c r="W120">
        <v>0</v>
      </c>
      <c r="X120">
        <v>-1417349443</v>
      </c>
      <c r="Y120">
        <v>6.25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5</v>
      </c>
      <c r="AU120" t="s">
        <v>56</v>
      </c>
      <c r="AV120">
        <v>2</v>
      </c>
      <c r="AW120">
        <v>2</v>
      </c>
      <c r="AX120">
        <v>55463838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Y120*Source!I110</f>
        <v>10.83125</v>
      </c>
      <c r="CY120">
        <f>AD120</f>
        <v>0</v>
      </c>
      <c r="CZ120">
        <f>AH120</f>
        <v>0</v>
      </c>
      <c r="DA120">
        <f>AL120</f>
        <v>1</v>
      </c>
      <c r="DB120">
        <f>ROUND((ROUND(AT120*CZ120,2)*ROUND(1.25,7)),2)</f>
        <v>0</v>
      </c>
      <c r="DC120">
        <f>ROUND((ROUND(AT120*AG120,2)*ROUND(1.25,7)),2)</f>
        <v>0</v>
      </c>
    </row>
    <row r="121" spans="1:107" ht="12.75">
      <c r="A121">
        <f>ROW(Source!A110)</f>
        <v>110</v>
      </c>
      <c r="B121">
        <v>55463411</v>
      </c>
      <c r="C121">
        <v>55463826</v>
      </c>
      <c r="D121">
        <v>44976424</v>
      </c>
      <c r="E121">
        <v>1</v>
      </c>
      <c r="F121">
        <v>1</v>
      </c>
      <c r="G121">
        <v>1</v>
      </c>
      <c r="H121">
        <v>2</v>
      </c>
      <c r="I121" t="s">
        <v>441</v>
      </c>
      <c r="J121" t="s">
        <v>442</v>
      </c>
      <c r="K121" t="s">
        <v>443</v>
      </c>
      <c r="L121">
        <v>1368</v>
      </c>
      <c r="N121">
        <v>1011</v>
      </c>
      <c r="O121" t="s">
        <v>371</v>
      </c>
      <c r="P121" t="s">
        <v>371</v>
      </c>
      <c r="Q121">
        <v>1</v>
      </c>
      <c r="W121">
        <v>0</v>
      </c>
      <c r="X121">
        <v>-1376137381</v>
      </c>
      <c r="Y121">
        <v>1.6625</v>
      </c>
      <c r="AA121">
        <v>0</v>
      </c>
      <c r="AB121">
        <v>76.7</v>
      </c>
      <c r="AC121">
        <v>10.06</v>
      </c>
      <c r="AD121">
        <v>0</v>
      </c>
      <c r="AE121">
        <v>0</v>
      </c>
      <c r="AF121">
        <v>76.7</v>
      </c>
      <c r="AG121">
        <v>10.06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1.33</v>
      </c>
      <c r="AU121" t="s">
        <v>56</v>
      </c>
      <c r="AV121">
        <v>0</v>
      </c>
      <c r="AW121">
        <v>2</v>
      </c>
      <c r="AX121">
        <v>55463839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Y121*Source!I110</f>
        <v>2.8811125000000004</v>
      </c>
      <c r="CY121">
        <f>AB121</f>
        <v>76.7</v>
      </c>
      <c r="CZ121">
        <f>AF121</f>
        <v>76.7</v>
      </c>
      <c r="DA121">
        <f>AJ121</f>
        <v>1</v>
      </c>
      <c r="DB121">
        <f>ROUND((ROUND(AT121*CZ121,2)*ROUND(1.25,7)),2)</f>
        <v>127.51</v>
      </c>
      <c r="DC121">
        <f>ROUND((ROUND(AT121*AG121,2)*ROUND(1.25,7)),2)</f>
        <v>16.73</v>
      </c>
    </row>
    <row r="122" spans="1:107" ht="12.75">
      <c r="A122">
        <f>ROW(Source!A110)</f>
        <v>110</v>
      </c>
      <c r="B122">
        <v>55463411</v>
      </c>
      <c r="C122">
        <v>55463826</v>
      </c>
      <c r="D122">
        <v>44976785</v>
      </c>
      <c r="E122">
        <v>1</v>
      </c>
      <c r="F122">
        <v>1</v>
      </c>
      <c r="G122">
        <v>1</v>
      </c>
      <c r="H122">
        <v>2</v>
      </c>
      <c r="I122" t="s">
        <v>444</v>
      </c>
      <c r="J122" t="s">
        <v>445</v>
      </c>
      <c r="K122" t="s">
        <v>446</v>
      </c>
      <c r="L122">
        <v>1368</v>
      </c>
      <c r="N122">
        <v>1011</v>
      </c>
      <c r="O122" t="s">
        <v>371</v>
      </c>
      <c r="P122" t="s">
        <v>371</v>
      </c>
      <c r="Q122">
        <v>1</v>
      </c>
      <c r="W122">
        <v>0</v>
      </c>
      <c r="X122">
        <v>-583213334</v>
      </c>
      <c r="Y122">
        <v>3.8375</v>
      </c>
      <c r="AA122">
        <v>0</v>
      </c>
      <c r="AB122">
        <v>60</v>
      </c>
      <c r="AC122">
        <v>0</v>
      </c>
      <c r="AD122">
        <v>0</v>
      </c>
      <c r="AE122">
        <v>0</v>
      </c>
      <c r="AF122">
        <v>60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3.07</v>
      </c>
      <c r="AU122" t="s">
        <v>56</v>
      </c>
      <c r="AV122">
        <v>0</v>
      </c>
      <c r="AW122">
        <v>2</v>
      </c>
      <c r="AX122">
        <v>55463840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Y122*Source!I110</f>
        <v>6.6503875</v>
      </c>
      <c r="CY122">
        <f>AB122</f>
        <v>60</v>
      </c>
      <c r="CZ122">
        <f>AF122</f>
        <v>60</v>
      </c>
      <c r="DA122">
        <f>AJ122</f>
        <v>1</v>
      </c>
      <c r="DB122">
        <f>ROUND((ROUND(AT122*CZ122,2)*ROUND(1.25,7)),2)</f>
        <v>230.25</v>
      </c>
      <c r="DC122">
        <f>ROUND((ROUND(AT122*AG122,2)*ROUND(1.25,7)),2)</f>
        <v>0</v>
      </c>
    </row>
    <row r="123" spans="1:107" ht="12.75">
      <c r="A123">
        <f>ROW(Source!A110)</f>
        <v>110</v>
      </c>
      <c r="B123">
        <v>55463411</v>
      </c>
      <c r="C123">
        <v>55463826</v>
      </c>
      <c r="D123">
        <v>44977227</v>
      </c>
      <c r="E123">
        <v>1</v>
      </c>
      <c r="F123">
        <v>1</v>
      </c>
      <c r="G123">
        <v>1</v>
      </c>
      <c r="H123">
        <v>2</v>
      </c>
      <c r="I123" t="s">
        <v>447</v>
      </c>
      <c r="J123" t="s">
        <v>448</v>
      </c>
      <c r="K123" t="s">
        <v>449</v>
      </c>
      <c r="L123">
        <v>1368</v>
      </c>
      <c r="N123">
        <v>1011</v>
      </c>
      <c r="O123" t="s">
        <v>371</v>
      </c>
      <c r="P123" t="s">
        <v>371</v>
      </c>
      <c r="Q123">
        <v>1</v>
      </c>
      <c r="W123">
        <v>0</v>
      </c>
      <c r="X123">
        <v>-101166653</v>
      </c>
      <c r="Y123">
        <v>1.0875</v>
      </c>
      <c r="AA123">
        <v>0</v>
      </c>
      <c r="AB123">
        <v>110</v>
      </c>
      <c r="AC123">
        <v>11.6</v>
      </c>
      <c r="AD123">
        <v>0</v>
      </c>
      <c r="AE123">
        <v>0</v>
      </c>
      <c r="AF123">
        <v>110</v>
      </c>
      <c r="AG123">
        <v>11.6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0.87</v>
      </c>
      <c r="AU123" t="s">
        <v>56</v>
      </c>
      <c r="AV123">
        <v>0</v>
      </c>
      <c r="AW123">
        <v>2</v>
      </c>
      <c r="AX123">
        <v>55463841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Y123*Source!I110</f>
        <v>1.8846375</v>
      </c>
      <c r="CY123">
        <f>AB123</f>
        <v>110</v>
      </c>
      <c r="CZ123">
        <f>AF123</f>
        <v>110</v>
      </c>
      <c r="DA123">
        <f>AJ123</f>
        <v>1</v>
      </c>
      <c r="DB123">
        <f>ROUND((ROUND(AT123*CZ123,2)*ROUND(1.25,7)),2)</f>
        <v>119.63</v>
      </c>
      <c r="DC123">
        <f>ROUND((ROUND(AT123*AG123,2)*ROUND(1.25,7)),2)</f>
        <v>12.61</v>
      </c>
    </row>
    <row r="124" spans="1:107" ht="12.75">
      <c r="A124">
        <f>ROW(Source!A110)</f>
        <v>110</v>
      </c>
      <c r="B124">
        <v>55463411</v>
      </c>
      <c r="C124">
        <v>55463826</v>
      </c>
      <c r="D124">
        <v>44977280</v>
      </c>
      <c r="E124">
        <v>1</v>
      </c>
      <c r="F124">
        <v>1</v>
      </c>
      <c r="G124">
        <v>1</v>
      </c>
      <c r="H124">
        <v>2</v>
      </c>
      <c r="I124" t="s">
        <v>390</v>
      </c>
      <c r="J124" t="s">
        <v>391</v>
      </c>
      <c r="K124" t="s">
        <v>392</v>
      </c>
      <c r="L124">
        <v>1368</v>
      </c>
      <c r="N124">
        <v>1011</v>
      </c>
      <c r="O124" t="s">
        <v>371</v>
      </c>
      <c r="P124" t="s">
        <v>371</v>
      </c>
      <c r="Q124">
        <v>1</v>
      </c>
      <c r="W124">
        <v>0</v>
      </c>
      <c r="X124">
        <v>-1057454432</v>
      </c>
      <c r="Y124">
        <v>3.5</v>
      </c>
      <c r="AA124">
        <v>0</v>
      </c>
      <c r="AB124">
        <v>65.71</v>
      </c>
      <c r="AC124">
        <v>11.6</v>
      </c>
      <c r="AD124">
        <v>0</v>
      </c>
      <c r="AE124">
        <v>0</v>
      </c>
      <c r="AF124">
        <v>65.71</v>
      </c>
      <c r="AG124">
        <v>11.6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2.8</v>
      </c>
      <c r="AU124" t="s">
        <v>56</v>
      </c>
      <c r="AV124">
        <v>0</v>
      </c>
      <c r="AW124">
        <v>2</v>
      </c>
      <c r="AX124">
        <v>55463842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Y124*Source!I110</f>
        <v>6.0655</v>
      </c>
      <c r="CY124">
        <f>AB124</f>
        <v>65.71</v>
      </c>
      <c r="CZ124">
        <f>AF124</f>
        <v>65.71</v>
      </c>
      <c r="DA124">
        <f>AJ124</f>
        <v>1</v>
      </c>
      <c r="DB124">
        <f>ROUND((ROUND(AT124*CZ124,2)*ROUND(1.25,7)),2)</f>
        <v>229.99</v>
      </c>
      <c r="DC124">
        <f>ROUND((ROUND(AT124*AG124,2)*ROUND(1.25,7)),2)</f>
        <v>40.6</v>
      </c>
    </row>
    <row r="125" spans="1:107" ht="12.75">
      <c r="A125">
        <f>ROW(Source!A110)</f>
        <v>110</v>
      </c>
      <c r="B125">
        <v>55463411</v>
      </c>
      <c r="C125">
        <v>55463826</v>
      </c>
      <c r="D125">
        <v>44812337</v>
      </c>
      <c r="E125">
        <v>1</v>
      </c>
      <c r="F125">
        <v>1</v>
      </c>
      <c r="G125">
        <v>1</v>
      </c>
      <c r="H125">
        <v>3</v>
      </c>
      <c r="I125" t="s">
        <v>411</v>
      </c>
      <c r="J125" t="s">
        <v>412</v>
      </c>
      <c r="K125" t="s">
        <v>413</v>
      </c>
      <c r="L125">
        <v>1339</v>
      </c>
      <c r="N125">
        <v>1007</v>
      </c>
      <c r="O125" t="s">
        <v>160</v>
      </c>
      <c r="P125" t="s">
        <v>160</v>
      </c>
      <c r="Q125">
        <v>1</v>
      </c>
      <c r="W125">
        <v>0</v>
      </c>
      <c r="X125">
        <v>-1909151455</v>
      </c>
      <c r="Y125">
        <v>1.07</v>
      </c>
      <c r="AA125">
        <v>2.44</v>
      </c>
      <c r="AB125">
        <v>0</v>
      </c>
      <c r="AC125">
        <v>0</v>
      </c>
      <c r="AD125">
        <v>0</v>
      </c>
      <c r="AE125">
        <v>2.44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1.07</v>
      </c>
      <c r="AV125">
        <v>0</v>
      </c>
      <c r="AW125">
        <v>2</v>
      </c>
      <c r="AX125">
        <v>55463843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Y125*Source!I110</f>
        <v>1.8543100000000001</v>
      </c>
      <c r="CY125">
        <f>AA125</f>
        <v>2.44</v>
      </c>
      <c r="CZ125">
        <f>AE125</f>
        <v>2.44</v>
      </c>
      <c r="DA125">
        <f>AI125</f>
        <v>1</v>
      </c>
      <c r="DB125">
        <f>ROUND(ROUND(AT125*CZ125,2),2)</f>
        <v>2.61</v>
      </c>
      <c r="DC125">
        <f>ROUND(ROUND(AT125*AG125,2),2)</f>
        <v>0</v>
      </c>
    </row>
    <row r="126" spans="1:107" ht="12.75">
      <c r="A126">
        <f>ROW(Source!A110)</f>
        <v>110</v>
      </c>
      <c r="B126">
        <v>55463411</v>
      </c>
      <c r="C126">
        <v>55463826</v>
      </c>
      <c r="D126">
        <v>53648059</v>
      </c>
      <c r="E126">
        <v>1</v>
      </c>
      <c r="F126">
        <v>1</v>
      </c>
      <c r="G126">
        <v>1</v>
      </c>
      <c r="H126">
        <v>3</v>
      </c>
      <c r="I126" t="s">
        <v>237</v>
      </c>
      <c r="J126" t="s">
        <v>239</v>
      </c>
      <c r="K126" t="s">
        <v>238</v>
      </c>
      <c r="L126">
        <v>1348</v>
      </c>
      <c r="N126">
        <v>1009</v>
      </c>
      <c r="O126" t="s">
        <v>36</v>
      </c>
      <c r="P126" t="s">
        <v>36</v>
      </c>
      <c r="Q126">
        <v>1000</v>
      </c>
      <c r="W126">
        <v>0</v>
      </c>
      <c r="X126">
        <v>-1724628855</v>
      </c>
      <c r="Y126">
        <v>0.090173</v>
      </c>
      <c r="AA126">
        <v>6513</v>
      </c>
      <c r="AB126">
        <v>0</v>
      </c>
      <c r="AC126">
        <v>0</v>
      </c>
      <c r="AD126">
        <v>0</v>
      </c>
      <c r="AE126">
        <v>6513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T126">
        <v>0.090173</v>
      </c>
      <c r="AV126">
        <v>0</v>
      </c>
      <c r="AW126">
        <v>1</v>
      </c>
      <c r="AX126">
        <v>-1</v>
      </c>
      <c r="AY126">
        <v>0</v>
      </c>
      <c r="AZ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Y126*Source!I110</f>
        <v>0.156269809</v>
      </c>
      <c r="CY126">
        <f>AA126</f>
        <v>6513</v>
      </c>
      <c r="CZ126">
        <f>AE126</f>
        <v>6513</v>
      </c>
      <c r="DA126">
        <f>AI126</f>
        <v>1</v>
      </c>
      <c r="DB126">
        <f>ROUND(ROUND(AT126*CZ126,2),2)</f>
        <v>587.3</v>
      </c>
      <c r="DC126">
        <f>ROUND(ROUND(AT126*AG126,2),2)</f>
        <v>0</v>
      </c>
    </row>
    <row r="127" spans="1:107" ht="12.75">
      <c r="A127">
        <f>ROW(Source!A110)</f>
        <v>110</v>
      </c>
      <c r="B127">
        <v>55463411</v>
      </c>
      <c r="C127">
        <v>55463826</v>
      </c>
      <c r="D127">
        <v>53672545</v>
      </c>
      <c r="E127">
        <v>1</v>
      </c>
      <c r="F127">
        <v>1</v>
      </c>
      <c r="G127">
        <v>1</v>
      </c>
      <c r="H127">
        <v>3</v>
      </c>
      <c r="I127" t="s">
        <v>229</v>
      </c>
      <c r="J127" t="s">
        <v>231</v>
      </c>
      <c r="K127" t="s">
        <v>230</v>
      </c>
      <c r="L127">
        <v>1327</v>
      </c>
      <c r="N127">
        <v>1005</v>
      </c>
      <c r="O127" t="s">
        <v>165</v>
      </c>
      <c r="P127" t="s">
        <v>165</v>
      </c>
      <c r="Q127">
        <v>1</v>
      </c>
      <c r="W127">
        <v>0</v>
      </c>
      <c r="X127">
        <v>861827329</v>
      </c>
      <c r="Y127">
        <v>105.202312</v>
      </c>
      <c r="AA127">
        <v>493.81</v>
      </c>
      <c r="AB127">
        <v>0</v>
      </c>
      <c r="AC127">
        <v>0</v>
      </c>
      <c r="AD127">
        <v>0</v>
      </c>
      <c r="AE127">
        <v>493.81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T127">
        <v>105.202312</v>
      </c>
      <c r="AV127">
        <v>0</v>
      </c>
      <c r="AW127">
        <v>1</v>
      </c>
      <c r="AX127">
        <v>-1</v>
      </c>
      <c r="AY127">
        <v>0</v>
      </c>
      <c r="AZ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Y127*Source!I110</f>
        <v>182.31560669600003</v>
      </c>
      <c r="CY127">
        <f>AA127</f>
        <v>493.81</v>
      </c>
      <c r="CZ127">
        <f>AE127</f>
        <v>493.81</v>
      </c>
      <c r="DA127">
        <f>AI127</f>
        <v>1</v>
      </c>
      <c r="DB127">
        <f>ROUND(ROUND(AT127*CZ127,2),2)</f>
        <v>51949.95</v>
      </c>
      <c r="DC127">
        <f>ROUND(ROUND(AT127*AG127,2),2)</f>
        <v>0</v>
      </c>
    </row>
    <row r="128" spans="1:107" ht="12.75">
      <c r="A128">
        <f>ROW(Source!A110)</f>
        <v>110</v>
      </c>
      <c r="B128">
        <v>55463411</v>
      </c>
      <c r="C128">
        <v>55463826</v>
      </c>
      <c r="D128">
        <v>53672897</v>
      </c>
      <c r="E128">
        <v>1</v>
      </c>
      <c r="F128">
        <v>1</v>
      </c>
      <c r="G128">
        <v>1</v>
      </c>
      <c r="H128">
        <v>3</v>
      </c>
      <c r="I128" t="s">
        <v>233</v>
      </c>
      <c r="J128" t="s">
        <v>235</v>
      </c>
      <c r="K128" t="s">
        <v>234</v>
      </c>
      <c r="L128">
        <v>1348</v>
      </c>
      <c r="N128">
        <v>1009</v>
      </c>
      <c r="O128" t="s">
        <v>36</v>
      </c>
      <c r="P128" t="s">
        <v>36</v>
      </c>
      <c r="Q128">
        <v>1000</v>
      </c>
      <c r="W128">
        <v>0</v>
      </c>
      <c r="X128">
        <v>1916701908</v>
      </c>
      <c r="Y128">
        <v>0.977011</v>
      </c>
      <c r="AA128">
        <v>6378.02</v>
      </c>
      <c r="AB128">
        <v>0</v>
      </c>
      <c r="AC128">
        <v>0</v>
      </c>
      <c r="AD128">
        <v>0</v>
      </c>
      <c r="AE128">
        <v>6378.02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0.977011</v>
      </c>
      <c r="AV128">
        <v>0</v>
      </c>
      <c r="AW128">
        <v>1</v>
      </c>
      <c r="AX128">
        <v>-1</v>
      </c>
      <c r="AY128">
        <v>0</v>
      </c>
      <c r="AZ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Y128*Source!I110</f>
        <v>1.693160063</v>
      </c>
      <c r="CY128">
        <f>AA128</f>
        <v>6378.02</v>
      </c>
      <c r="CZ128">
        <f>AE128</f>
        <v>6378.02</v>
      </c>
      <c r="DA128">
        <f>AI128</f>
        <v>1</v>
      </c>
      <c r="DB128">
        <f>ROUND(ROUND(AT128*CZ128,2),2)</f>
        <v>6231.4</v>
      </c>
      <c r="DC128">
        <f>ROUND(ROUND(AT128*AG128,2),2)</f>
        <v>0</v>
      </c>
    </row>
    <row r="129" spans="1:107" ht="12.75">
      <c r="A129">
        <f>ROW(Source!A111)</f>
        <v>111</v>
      </c>
      <c r="B129">
        <v>55463412</v>
      </c>
      <c r="C129">
        <v>55463826</v>
      </c>
      <c r="D129">
        <v>44800259</v>
      </c>
      <c r="E129">
        <v>54</v>
      </c>
      <c r="F129">
        <v>1</v>
      </c>
      <c r="G129">
        <v>1</v>
      </c>
      <c r="H129">
        <v>1</v>
      </c>
      <c r="I129" t="s">
        <v>439</v>
      </c>
      <c r="K129" t="s">
        <v>440</v>
      </c>
      <c r="L129">
        <v>1191</v>
      </c>
      <c r="N129">
        <v>1013</v>
      </c>
      <c r="O129" t="s">
        <v>357</v>
      </c>
      <c r="P129" t="s">
        <v>357</v>
      </c>
      <c r="Q129">
        <v>1</v>
      </c>
      <c r="W129">
        <v>0</v>
      </c>
      <c r="X129">
        <v>-719309759</v>
      </c>
      <c r="Y129">
        <v>197.48949999999996</v>
      </c>
      <c r="AA129">
        <v>0</v>
      </c>
      <c r="AB129">
        <v>0</v>
      </c>
      <c r="AC129">
        <v>0</v>
      </c>
      <c r="AD129">
        <v>323.12</v>
      </c>
      <c r="AE129">
        <v>0</v>
      </c>
      <c r="AF129">
        <v>0</v>
      </c>
      <c r="AG129">
        <v>0</v>
      </c>
      <c r="AH129">
        <v>8.86</v>
      </c>
      <c r="AI129">
        <v>1</v>
      </c>
      <c r="AJ129">
        <v>1</v>
      </c>
      <c r="AK129">
        <v>1</v>
      </c>
      <c r="AL129">
        <v>36.47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171.73</v>
      </c>
      <c r="AU129" t="s">
        <v>57</v>
      </c>
      <c r="AV129">
        <v>1</v>
      </c>
      <c r="AW129">
        <v>2</v>
      </c>
      <c r="AX129">
        <v>55463837</v>
      </c>
      <c r="AY129">
        <v>1</v>
      </c>
      <c r="AZ129">
        <v>0</v>
      </c>
      <c r="BA129">
        <v>128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Y129*Source!I111</f>
        <v>342.24930349999994</v>
      </c>
      <c r="CY129">
        <f>AD129</f>
        <v>323.12</v>
      </c>
      <c r="CZ129">
        <f>AH129</f>
        <v>8.86</v>
      </c>
      <c r="DA129">
        <f>AL129</f>
        <v>36.47</v>
      </c>
      <c r="DB129">
        <f>ROUND((ROUND(AT129*CZ129,2)*ROUND(1.15,7)),2)</f>
        <v>1749.76</v>
      </c>
      <c r="DC129">
        <f>ROUND((ROUND(AT129*AG129,2)*ROUND(1.15,7)),2)</f>
        <v>0</v>
      </c>
    </row>
    <row r="130" spans="1:107" ht="12.75">
      <c r="A130">
        <f>ROW(Source!A111)</f>
        <v>111</v>
      </c>
      <c r="B130">
        <v>55463412</v>
      </c>
      <c r="C130">
        <v>55463826</v>
      </c>
      <c r="D130">
        <v>44800452</v>
      </c>
      <c r="E130">
        <v>54</v>
      </c>
      <c r="F130">
        <v>1</v>
      </c>
      <c r="G130">
        <v>1</v>
      </c>
      <c r="H130">
        <v>1</v>
      </c>
      <c r="I130" t="s">
        <v>358</v>
      </c>
      <c r="K130" t="s">
        <v>359</v>
      </c>
      <c r="L130">
        <v>1191</v>
      </c>
      <c r="N130">
        <v>1013</v>
      </c>
      <c r="O130" t="s">
        <v>357</v>
      </c>
      <c r="P130" t="s">
        <v>357</v>
      </c>
      <c r="Q130">
        <v>1</v>
      </c>
      <c r="W130">
        <v>0</v>
      </c>
      <c r="X130">
        <v>-1417349443</v>
      </c>
      <c r="Y130">
        <v>6.25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36.47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5</v>
      </c>
      <c r="AU130" t="s">
        <v>56</v>
      </c>
      <c r="AV130">
        <v>2</v>
      </c>
      <c r="AW130">
        <v>2</v>
      </c>
      <c r="AX130">
        <v>55463838</v>
      </c>
      <c r="AY130">
        <v>1</v>
      </c>
      <c r="AZ130">
        <v>0</v>
      </c>
      <c r="BA130">
        <v>129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Y130*Source!I111</f>
        <v>10.83125</v>
      </c>
      <c r="CY130">
        <f>AD130</f>
        <v>0</v>
      </c>
      <c r="CZ130">
        <f>AH130</f>
        <v>0</v>
      </c>
      <c r="DA130">
        <f>AL130</f>
        <v>1</v>
      </c>
      <c r="DB130">
        <f>ROUND((ROUND(AT130*CZ130,2)*ROUND(1.25,7)),2)</f>
        <v>0</v>
      </c>
      <c r="DC130">
        <f>ROUND((ROUND(AT130*AG130,2)*ROUND(1.25,7)),2)</f>
        <v>0</v>
      </c>
    </row>
    <row r="131" spans="1:107" ht="12.75">
      <c r="A131">
        <f>ROW(Source!A111)</f>
        <v>111</v>
      </c>
      <c r="B131">
        <v>55463412</v>
      </c>
      <c r="C131">
        <v>55463826</v>
      </c>
      <c r="D131">
        <v>44976424</v>
      </c>
      <c r="E131">
        <v>1</v>
      </c>
      <c r="F131">
        <v>1</v>
      </c>
      <c r="G131">
        <v>1</v>
      </c>
      <c r="H131">
        <v>2</v>
      </c>
      <c r="I131" t="s">
        <v>441</v>
      </c>
      <c r="J131" t="s">
        <v>442</v>
      </c>
      <c r="K131" t="s">
        <v>443</v>
      </c>
      <c r="L131">
        <v>1368</v>
      </c>
      <c r="N131">
        <v>1011</v>
      </c>
      <c r="O131" t="s">
        <v>371</v>
      </c>
      <c r="P131" t="s">
        <v>371</v>
      </c>
      <c r="Q131">
        <v>1</v>
      </c>
      <c r="W131">
        <v>0</v>
      </c>
      <c r="X131">
        <v>-1376137381</v>
      </c>
      <c r="Y131">
        <v>1.6625</v>
      </c>
      <c r="AA131">
        <v>0</v>
      </c>
      <c r="AB131">
        <v>994.8</v>
      </c>
      <c r="AC131">
        <v>366.89</v>
      </c>
      <c r="AD131">
        <v>0</v>
      </c>
      <c r="AE131">
        <v>0</v>
      </c>
      <c r="AF131">
        <v>76.7</v>
      </c>
      <c r="AG131">
        <v>10.06</v>
      </c>
      <c r="AH131">
        <v>0</v>
      </c>
      <c r="AI131">
        <v>1</v>
      </c>
      <c r="AJ131">
        <v>12.97</v>
      </c>
      <c r="AK131">
        <v>36.47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1.33</v>
      </c>
      <c r="AU131" t="s">
        <v>56</v>
      </c>
      <c r="AV131">
        <v>0</v>
      </c>
      <c r="AW131">
        <v>2</v>
      </c>
      <c r="AX131">
        <v>55463839</v>
      </c>
      <c r="AY131">
        <v>1</v>
      </c>
      <c r="AZ131">
        <v>0</v>
      </c>
      <c r="BA131">
        <v>130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Y131*Source!I111</f>
        <v>2.8811125000000004</v>
      </c>
      <c r="CY131">
        <f>AB131</f>
        <v>994.8</v>
      </c>
      <c r="CZ131">
        <f>AF131</f>
        <v>76.7</v>
      </c>
      <c r="DA131">
        <f>AJ131</f>
        <v>12.97</v>
      </c>
      <c r="DB131">
        <f>ROUND((ROUND(AT131*CZ131,2)*ROUND(1.25,7)),2)</f>
        <v>127.51</v>
      </c>
      <c r="DC131">
        <f>ROUND((ROUND(AT131*AG131,2)*ROUND(1.25,7)),2)</f>
        <v>16.73</v>
      </c>
    </row>
    <row r="132" spans="1:107" ht="12.75">
      <c r="A132">
        <f>ROW(Source!A111)</f>
        <v>111</v>
      </c>
      <c r="B132">
        <v>55463412</v>
      </c>
      <c r="C132">
        <v>55463826</v>
      </c>
      <c r="D132">
        <v>44976785</v>
      </c>
      <c r="E132">
        <v>1</v>
      </c>
      <c r="F132">
        <v>1</v>
      </c>
      <c r="G132">
        <v>1</v>
      </c>
      <c r="H132">
        <v>2</v>
      </c>
      <c r="I132" t="s">
        <v>444</v>
      </c>
      <c r="J132" t="s">
        <v>445</v>
      </c>
      <c r="K132" t="s">
        <v>446</v>
      </c>
      <c r="L132">
        <v>1368</v>
      </c>
      <c r="N132">
        <v>1011</v>
      </c>
      <c r="O132" t="s">
        <v>371</v>
      </c>
      <c r="P132" t="s">
        <v>371</v>
      </c>
      <c r="Q132">
        <v>1</v>
      </c>
      <c r="W132">
        <v>0</v>
      </c>
      <c r="X132">
        <v>-583213334</v>
      </c>
      <c r="Y132">
        <v>3.8375</v>
      </c>
      <c r="AA132">
        <v>0</v>
      </c>
      <c r="AB132">
        <v>778.2</v>
      </c>
      <c r="AC132">
        <v>0</v>
      </c>
      <c r="AD132">
        <v>0</v>
      </c>
      <c r="AE132">
        <v>0</v>
      </c>
      <c r="AF132">
        <v>60</v>
      </c>
      <c r="AG132">
        <v>0</v>
      </c>
      <c r="AH132">
        <v>0</v>
      </c>
      <c r="AI132">
        <v>1</v>
      </c>
      <c r="AJ132">
        <v>12.97</v>
      </c>
      <c r="AK132">
        <v>36.47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3.07</v>
      </c>
      <c r="AU132" t="s">
        <v>56</v>
      </c>
      <c r="AV132">
        <v>0</v>
      </c>
      <c r="AW132">
        <v>2</v>
      </c>
      <c r="AX132">
        <v>55463840</v>
      </c>
      <c r="AY132">
        <v>1</v>
      </c>
      <c r="AZ132">
        <v>0</v>
      </c>
      <c r="BA132">
        <v>131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Y132*Source!I111</f>
        <v>6.6503875</v>
      </c>
      <c r="CY132">
        <f>AB132</f>
        <v>778.2</v>
      </c>
      <c r="CZ132">
        <f>AF132</f>
        <v>60</v>
      </c>
      <c r="DA132">
        <f>AJ132</f>
        <v>12.97</v>
      </c>
      <c r="DB132">
        <f>ROUND((ROUND(AT132*CZ132,2)*ROUND(1.25,7)),2)</f>
        <v>230.25</v>
      </c>
      <c r="DC132">
        <f>ROUND((ROUND(AT132*AG132,2)*ROUND(1.25,7)),2)</f>
        <v>0</v>
      </c>
    </row>
    <row r="133" spans="1:107" ht="12.75">
      <c r="A133">
        <f>ROW(Source!A111)</f>
        <v>111</v>
      </c>
      <c r="B133">
        <v>55463412</v>
      </c>
      <c r="C133">
        <v>55463826</v>
      </c>
      <c r="D133">
        <v>44977227</v>
      </c>
      <c r="E133">
        <v>1</v>
      </c>
      <c r="F133">
        <v>1</v>
      </c>
      <c r="G133">
        <v>1</v>
      </c>
      <c r="H133">
        <v>2</v>
      </c>
      <c r="I133" t="s">
        <v>447</v>
      </c>
      <c r="J133" t="s">
        <v>448</v>
      </c>
      <c r="K133" t="s">
        <v>449</v>
      </c>
      <c r="L133">
        <v>1368</v>
      </c>
      <c r="N133">
        <v>1011</v>
      </c>
      <c r="O133" t="s">
        <v>371</v>
      </c>
      <c r="P133" t="s">
        <v>371</v>
      </c>
      <c r="Q133">
        <v>1</v>
      </c>
      <c r="W133">
        <v>0</v>
      </c>
      <c r="X133">
        <v>-101166653</v>
      </c>
      <c r="Y133">
        <v>1.0875</v>
      </c>
      <c r="AA133">
        <v>0</v>
      </c>
      <c r="AB133">
        <v>1426.7</v>
      </c>
      <c r="AC133">
        <v>423.05</v>
      </c>
      <c r="AD133">
        <v>0</v>
      </c>
      <c r="AE133">
        <v>0</v>
      </c>
      <c r="AF133">
        <v>110</v>
      </c>
      <c r="AG133">
        <v>11.6</v>
      </c>
      <c r="AH133">
        <v>0</v>
      </c>
      <c r="AI133">
        <v>1</v>
      </c>
      <c r="AJ133">
        <v>12.97</v>
      </c>
      <c r="AK133">
        <v>36.47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0.87</v>
      </c>
      <c r="AU133" t="s">
        <v>56</v>
      </c>
      <c r="AV133">
        <v>0</v>
      </c>
      <c r="AW133">
        <v>2</v>
      </c>
      <c r="AX133">
        <v>55463841</v>
      </c>
      <c r="AY133">
        <v>1</v>
      </c>
      <c r="AZ133">
        <v>0</v>
      </c>
      <c r="BA133">
        <v>132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Y133*Source!I111</f>
        <v>1.8846375</v>
      </c>
      <c r="CY133">
        <f>AB133</f>
        <v>1426.7</v>
      </c>
      <c r="CZ133">
        <f>AF133</f>
        <v>110</v>
      </c>
      <c r="DA133">
        <f>AJ133</f>
        <v>12.97</v>
      </c>
      <c r="DB133">
        <f>ROUND((ROUND(AT133*CZ133,2)*ROUND(1.25,7)),2)</f>
        <v>119.63</v>
      </c>
      <c r="DC133">
        <f>ROUND((ROUND(AT133*AG133,2)*ROUND(1.25,7)),2)</f>
        <v>12.61</v>
      </c>
    </row>
    <row r="134" spans="1:107" ht="12.75">
      <c r="A134">
        <f>ROW(Source!A111)</f>
        <v>111</v>
      </c>
      <c r="B134">
        <v>55463412</v>
      </c>
      <c r="C134">
        <v>55463826</v>
      </c>
      <c r="D134">
        <v>44977280</v>
      </c>
      <c r="E134">
        <v>1</v>
      </c>
      <c r="F134">
        <v>1</v>
      </c>
      <c r="G134">
        <v>1</v>
      </c>
      <c r="H134">
        <v>2</v>
      </c>
      <c r="I134" t="s">
        <v>390</v>
      </c>
      <c r="J134" t="s">
        <v>391</v>
      </c>
      <c r="K134" t="s">
        <v>392</v>
      </c>
      <c r="L134">
        <v>1368</v>
      </c>
      <c r="N134">
        <v>1011</v>
      </c>
      <c r="O134" t="s">
        <v>371</v>
      </c>
      <c r="P134" t="s">
        <v>371</v>
      </c>
      <c r="Q134">
        <v>1</v>
      </c>
      <c r="W134">
        <v>0</v>
      </c>
      <c r="X134">
        <v>-1057454432</v>
      </c>
      <c r="Y134">
        <v>3.5</v>
      </c>
      <c r="AA134">
        <v>0</v>
      </c>
      <c r="AB134">
        <v>852.26</v>
      </c>
      <c r="AC134">
        <v>423.05</v>
      </c>
      <c r="AD134">
        <v>0</v>
      </c>
      <c r="AE134">
        <v>0</v>
      </c>
      <c r="AF134">
        <v>65.71</v>
      </c>
      <c r="AG134">
        <v>11.6</v>
      </c>
      <c r="AH134">
        <v>0</v>
      </c>
      <c r="AI134">
        <v>1</v>
      </c>
      <c r="AJ134">
        <v>12.97</v>
      </c>
      <c r="AK134">
        <v>36.47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2.8</v>
      </c>
      <c r="AU134" t="s">
        <v>56</v>
      </c>
      <c r="AV134">
        <v>0</v>
      </c>
      <c r="AW134">
        <v>2</v>
      </c>
      <c r="AX134">
        <v>55463842</v>
      </c>
      <c r="AY134">
        <v>1</v>
      </c>
      <c r="AZ134">
        <v>0</v>
      </c>
      <c r="BA134">
        <v>133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Y134*Source!I111</f>
        <v>6.0655</v>
      </c>
      <c r="CY134">
        <f>AB134</f>
        <v>852.26</v>
      </c>
      <c r="CZ134">
        <f>AF134</f>
        <v>65.71</v>
      </c>
      <c r="DA134">
        <f>AJ134</f>
        <v>12.97</v>
      </c>
      <c r="DB134">
        <f>ROUND((ROUND(AT134*CZ134,2)*ROUND(1.25,7)),2)</f>
        <v>229.99</v>
      </c>
      <c r="DC134">
        <f>ROUND((ROUND(AT134*AG134,2)*ROUND(1.25,7)),2)</f>
        <v>40.6</v>
      </c>
    </row>
    <row r="135" spans="1:107" ht="12.75">
      <c r="A135">
        <f>ROW(Source!A111)</f>
        <v>111</v>
      </c>
      <c r="B135">
        <v>55463412</v>
      </c>
      <c r="C135">
        <v>55463826</v>
      </c>
      <c r="D135">
        <v>44812337</v>
      </c>
      <c r="E135">
        <v>1</v>
      </c>
      <c r="F135">
        <v>1</v>
      </c>
      <c r="G135">
        <v>1</v>
      </c>
      <c r="H135">
        <v>3</v>
      </c>
      <c r="I135" t="s">
        <v>411</v>
      </c>
      <c r="J135" t="s">
        <v>412</v>
      </c>
      <c r="K135" t="s">
        <v>413</v>
      </c>
      <c r="L135">
        <v>1339</v>
      </c>
      <c r="N135">
        <v>1007</v>
      </c>
      <c r="O135" t="s">
        <v>160</v>
      </c>
      <c r="P135" t="s">
        <v>160</v>
      </c>
      <c r="Q135">
        <v>1</v>
      </c>
      <c r="W135">
        <v>0</v>
      </c>
      <c r="X135">
        <v>-1909151455</v>
      </c>
      <c r="Y135">
        <v>1.07</v>
      </c>
      <c r="AA135">
        <v>16.64</v>
      </c>
      <c r="AB135">
        <v>0</v>
      </c>
      <c r="AC135">
        <v>0</v>
      </c>
      <c r="AD135">
        <v>0</v>
      </c>
      <c r="AE135">
        <v>2.44</v>
      </c>
      <c r="AF135">
        <v>0</v>
      </c>
      <c r="AG135">
        <v>0</v>
      </c>
      <c r="AH135">
        <v>0</v>
      </c>
      <c r="AI135">
        <v>6.82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1.07</v>
      </c>
      <c r="AV135">
        <v>0</v>
      </c>
      <c r="AW135">
        <v>2</v>
      </c>
      <c r="AX135">
        <v>55463843</v>
      </c>
      <c r="AY135">
        <v>1</v>
      </c>
      <c r="AZ135">
        <v>0</v>
      </c>
      <c r="BA135">
        <v>134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Y135*Source!I111</f>
        <v>1.8543100000000001</v>
      </c>
      <c r="CY135">
        <f>AA135</f>
        <v>16.64</v>
      </c>
      <c r="CZ135">
        <f>AE135</f>
        <v>2.44</v>
      </c>
      <c r="DA135">
        <f>AI135</f>
        <v>6.82</v>
      </c>
      <c r="DB135">
        <f>ROUND(ROUND(AT135*CZ135,2),2)</f>
        <v>2.61</v>
      </c>
      <c r="DC135">
        <f>ROUND(ROUND(AT135*AG135,2),2)</f>
        <v>0</v>
      </c>
    </row>
    <row r="136" spans="1:107" ht="12.75">
      <c r="A136">
        <f>ROW(Source!A111)</f>
        <v>111</v>
      </c>
      <c r="B136">
        <v>55463412</v>
      </c>
      <c r="C136">
        <v>55463826</v>
      </c>
      <c r="D136">
        <v>53648059</v>
      </c>
      <c r="E136">
        <v>1</v>
      </c>
      <c r="F136">
        <v>1</v>
      </c>
      <c r="G136">
        <v>1</v>
      </c>
      <c r="H136">
        <v>3</v>
      </c>
      <c r="I136" t="s">
        <v>237</v>
      </c>
      <c r="J136" t="s">
        <v>239</v>
      </c>
      <c r="K136" t="s">
        <v>238</v>
      </c>
      <c r="L136">
        <v>1348</v>
      </c>
      <c r="N136">
        <v>1009</v>
      </c>
      <c r="O136" t="s">
        <v>36</v>
      </c>
      <c r="P136" t="s">
        <v>36</v>
      </c>
      <c r="Q136">
        <v>1000</v>
      </c>
      <c r="W136">
        <v>0</v>
      </c>
      <c r="X136">
        <v>-1724628855</v>
      </c>
      <c r="Y136">
        <v>0.090173</v>
      </c>
      <c r="AA136">
        <v>88120.89</v>
      </c>
      <c r="AB136">
        <v>0</v>
      </c>
      <c r="AC136">
        <v>0</v>
      </c>
      <c r="AD136">
        <v>0</v>
      </c>
      <c r="AE136">
        <v>6513</v>
      </c>
      <c r="AF136">
        <v>0</v>
      </c>
      <c r="AG136">
        <v>0</v>
      </c>
      <c r="AH136">
        <v>0</v>
      </c>
      <c r="AI136">
        <v>13.53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0.090173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Y136*Source!I111</f>
        <v>0.156269809</v>
      </c>
      <c r="CY136">
        <f>AA136</f>
        <v>88120.89</v>
      </c>
      <c r="CZ136">
        <f>AE136</f>
        <v>6513</v>
      </c>
      <c r="DA136">
        <f>AI136</f>
        <v>13.53</v>
      </c>
      <c r="DB136">
        <f>ROUND(ROUND(AT136*CZ136,2),2)</f>
        <v>587.3</v>
      </c>
      <c r="DC136">
        <f>ROUND(ROUND(AT136*AG136,2),2)</f>
        <v>0</v>
      </c>
    </row>
    <row r="137" spans="1:107" ht="12.75">
      <c r="A137">
        <f>ROW(Source!A111)</f>
        <v>111</v>
      </c>
      <c r="B137">
        <v>55463412</v>
      </c>
      <c r="C137">
        <v>55463826</v>
      </c>
      <c r="D137">
        <v>53672545</v>
      </c>
      <c r="E137">
        <v>1</v>
      </c>
      <c r="F137">
        <v>1</v>
      </c>
      <c r="G137">
        <v>1</v>
      </c>
      <c r="H137">
        <v>3</v>
      </c>
      <c r="I137" t="s">
        <v>229</v>
      </c>
      <c r="J137" t="s">
        <v>231</v>
      </c>
      <c r="K137" t="s">
        <v>230</v>
      </c>
      <c r="L137">
        <v>1327</v>
      </c>
      <c r="N137">
        <v>1005</v>
      </c>
      <c r="O137" t="s">
        <v>165</v>
      </c>
      <c r="P137" t="s">
        <v>165</v>
      </c>
      <c r="Q137">
        <v>1</v>
      </c>
      <c r="W137">
        <v>0</v>
      </c>
      <c r="X137">
        <v>861827329</v>
      </c>
      <c r="Y137">
        <v>105.202312</v>
      </c>
      <c r="AA137">
        <v>3367.78</v>
      </c>
      <c r="AB137">
        <v>0</v>
      </c>
      <c r="AC137">
        <v>0</v>
      </c>
      <c r="AD137">
        <v>0</v>
      </c>
      <c r="AE137">
        <v>493.81</v>
      </c>
      <c r="AF137">
        <v>0</v>
      </c>
      <c r="AG137">
        <v>0</v>
      </c>
      <c r="AH137">
        <v>0</v>
      </c>
      <c r="AI137">
        <v>6.82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T137">
        <v>105.202312</v>
      </c>
      <c r="AV137">
        <v>0</v>
      </c>
      <c r="AW137">
        <v>1</v>
      </c>
      <c r="AX137">
        <v>-1</v>
      </c>
      <c r="AY137">
        <v>0</v>
      </c>
      <c r="AZ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Y137*Source!I111</f>
        <v>182.31560669600003</v>
      </c>
      <c r="CY137">
        <f>AA137</f>
        <v>3367.78</v>
      </c>
      <c r="CZ137">
        <f>AE137</f>
        <v>493.81</v>
      </c>
      <c r="DA137">
        <f>AI137</f>
        <v>6.82</v>
      </c>
      <c r="DB137">
        <f>ROUND(ROUND(AT137*CZ137,2),2)</f>
        <v>51949.95</v>
      </c>
      <c r="DC137">
        <f>ROUND(ROUND(AT137*AG137,2),2)</f>
        <v>0</v>
      </c>
    </row>
    <row r="138" spans="1:107" ht="12.75">
      <c r="A138">
        <f>ROW(Source!A111)</f>
        <v>111</v>
      </c>
      <c r="B138">
        <v>55463412</v>
      </c>
      <c r="C138">
        <v>55463826</v>
      </c>
      <c r="D138">
        <v>53672897</v>
      </c>
      <c r="E138">
        <v>1</v>
      </c>
      <c r="F138">
        <v>1</v>
      </c>
      <c r="G138">
        <v>1</v>
      </c>
      <c r="H138">
        <v>3</v>
      </c>
      <c r="I138" t="s">
        <v>233</v>
      </c>
      <c r="J138" t="s">
        <v>235</v>
      </c>
      <c r="K138" t="s">
        <v>234</v>
      </c>
      <c r="L138">
        <v>1348</v>
      </c>
      <c r="N138">
        <v>1009</v>
      </c>
      <c r="O138" t="s">
        <v>36</v>
      </c>
      <c r="P138" t="s">
        <v>36</v>
      </c>
      <c r="Q138">
        <v>1000</v>
      </c>
      <c r="W138">
        <v>0</v>
      </c>
      <c r="X138">
        <v>1916701908</v>
      </c>
      <c r="Y138">
        <v>0.977011</v>
      </c>
      <c r="AA138">
        <v>43498.1</v>
      </c>
      <c r="AB138">
        <v>0</v>
      </c>
      <c r="AC138">
        <v>0</v>
      </c>
      <c r="AD138">
        <v>0</v>
      </c>
      <c r="AE138">
        <v>6378.02</v>
      </c>
      <c r="AF138">
        <v>0</v>
      </c>
      <c r="AG138">
        <v>0</v>
      </c>
      <c r="AH138">
        <v>0</v>
      </c>
      <c r="AI138">
        <v>6.82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0.977011</v>
      </c>
      <c r="AV138">
        <v>0</v>
      </c>
      <c r="AW138">
        <v>1</v>
      </c>
      <c r="AX138">
        <v>-1</v>
      </c>
      <c r="AY138">
        <v>0</v>
      </c>
      <c r="AZ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Y138*Source!I111</f>
        <v>1.693160063</v>
      </c>
      <c r="CY138">
        <f>AA138</f>
        <v>43498.1</v>
      </c>
      <c r="CZ138">
        <f>AE138</f>
        <v>6378.02</v>
      </c>
      <c r="DA138">
        <f>AI138</f>
        <v>6.82</v>
      </c>
      <c r="DB138">
        <f>ROUND(ROUND(AT138*CZ138,2),2)</f>
        <v>6231.4</v>
      </c>
      <c r="DC138">
        <f>ROUND(ROUND(AT138*AG138,2),2)</f>
        <v>0</v>
      </c>
    </row>
    <row r="139" spans="1:107" ht="12.75">
      <c r="A139">
        <f>ROW(Source!A118)</f>
        <v>118</v>
      </c>
      <c r="B139">
        <v>55463411</v>
      </c>
      <c r="C139">
        <v>55463849</v>
      </c>
      <c r="D139">
        <v>53630071</v>
      </c>
      <c r="E139">
        <v>70</v>
      </c>
      <c r="F139">
        <v>1</v>
      </c>
      <c r="G139">
        <v>1</v>
      </c>
      <c r="H139">
        <v>1</v>
      </c>
      <c r="I139" t="s">
        <v>450</v>
      </c>
      <c r="K139" t="s">
        <v>451</v>
      </c>
      <c r="L139">
        <v>1191</v>
      </c>
      <c r="N139">
        <v>1013</v>
      </c>
      <c r="O139" t="s">
        <v>357</v>
      </c>
      <c r="P139" t="s">
        <v>357</v>
      </c>
      <c r="Q139">
        <v>1</v>
      </c>
      <c r="W139">
        <v>0</v>
      </c>
      <c r="X139">
        <v>784619160</v>
      </c>
      <c r="Y139">
        <v>356.983</v>
      </c>
      <c r="AA139">
        <v>0</v>
      </c>
      <c r="AB139">
        <v>0</v>
      </c>
      <c r="AC139">
        <v>0</v>
      </c>
      <c r="AD139">
        <v>8.74</v>
      </c>
      <c r="AE139">
        <v>0</v>
      </c>
      <c r="AF139">
        <v>0</v>
      </c>
      <c r="AG139">
        <v>0</v>
      </c>
      <c r="AH139">
        <v>8.74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310.42</v>
      </c>
      <c r="AU139" t="s">
        <v>57</v>
      </c>
      <c r="AV139">
        <v>1</v>
      </c>
      <c r="AW139">
        <v>2</v>
      </c>
      <c r="AX139">
        <v>55463862</v>
      </c>
      <c r="AY139">
        <v>1</v>
      </c>
      <c r="AZ139">
        <v>0</v>
      </c>
      <c r="BA139">
        <v>137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Y139*Source!I118</f>
        <v>78.53626</v>
      </c>
      <c r="CY139">
        <f>AD139</f>
        <v>8.74</v>
      </c>
      <c r="CZ139">
        <f>AH139</f>
        <v>8.74</v>
      </c>
      <c r="DA139">
        <f>AL139</f>
        <v>1</v>
      </c>
      <c r="DB139">
        <f>ROUND((ROUND(AT139*CZ139,2)*ROUND(1.15,7)),2)</f>
        <v>3120.03</v>
      </c>
      <c r="DC139">
        <f>ROUND((ROUND(AT139*AG139,2)*ROUND(1.15,7)),2)</f>
        <v>0</v>
      </c>
    </row>
    <row r="140" spans="1:107" ht="12.75">
      <c r="A140">
        <f>ROW(Source!A118)</f>
        <v>118</v>
      </c>
      <c r="B140">
        <v>55463411</v>
      </c>
      <c r="C140">
        <v>55463849</v>
      </c>
      <c r="D140">
        <v>53630257</v>
      </c>
      <c r="E140">
        <v>70</v>
      </c>
      <c r="F140">
        <v>1</v>
      </c>
      <c r="G140">
        <v>1</v>
      </c>
      <c r="H140">
        <v>1</v>
      </c>
      <c r="I140" t="s">
        <v>358</v>
      </c>
      <c r="K140" t="s">
        <v>359</v>
      </c>
      <c r="L140">
        <v>1191</v>
      </c>
      <c r="N140">
        <v>1013</v>
      </c>
      <c r="O140" t="s">
        <v>357</v>
      </c>
      <c r="P140" t="s">
        <v>357</v>
      </c>
      <c r="Q140">
        <v>1</v>
      </c>
      <c r="W140">
        <v>0</v>
      </c>
      <c r="X140">
        <v>-1417349443</v>
      </c>
      <c r="Y140">
        <v>2.1625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1.73</v>
      </c>
      <c r="AU140" t="s">
        <v>56</v>
      </c>
      <c r="AV140">
        <v>2</v>
      </c>
      <c r="AW140">
        <v>2</v>
      </c>
      <c r="AX140">
        <v>55463863</v>
      </c>
      <c r="AY140">
        <v>1</v>
      </c>
      <c r="AZ140">
        <v>0</v>
      </c>
      <c r="BA140">
        <v>138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Y140*Source!I118</f>
        <v>0.47575</v>
      </c>
      <c r="CY140">
        <f>AD140</f>
        <v>0</v>
      </c>
      <c r="CZ140">
        <f>AH140</f>
        <v>0</v>
      </c>
      <c r="DA140">
        <f>AL140</f>
        <v>1</v>
      </c>
      <c r="DB140">
        <f>ROUND((ROUND(AT140*CZ140,2)*ROUND(1.25,7)),2)</f>
        <v>0</v>
      </c>
      <c r="DC140">
        <f>ROUND((ROUND(AT140*AG140,2)*ROUND(1.25,7)),2)</f>
        <v>0</v>
      </c>
    </row>
    <row r="141" spans="1:107" ht="12.75">
      <c r="A141">
        <f>ROW(Source!A118)</f>
        <v>118</v>
      </c>
      <c r="B141">
        <v>55463411</v>
      </c>
      <c r="C141">
        <v>55463849</v>
      </c>
      <c r="D141">
        <v>53791938</v>
      </c>
      <c r="E141">
        <v>1</v>
      </c>
      <c r="F141">
        <v>1</v>
      </c>
      <c r="G141">
        <v>1</v>
      </c>
      <c r="H141">
        <v>2</v>
      </c>
      <c r="I141" t="s">
        <v>452</v>
      </c>
      <c r="J141" t="s">
        <v>453</v>
      </c>
      <c r="K141" t="s">
        <v>454</v>
      </c>
      <c r="L141">
        <v>1367</v>
      </c>
      <c r="N141">
        <v>1011</v>
      </c>
      <c r="O141" t="s">
        <v>363</v>
      </c>
      <c r="P141" t="s">
        <v>363</v>
      </c>
      <c r="Q141">
        <v>1</v>
      </c>
      <c r="W141">
        <v>0</v>
      </c>
      <c r="X141">
        <v>-1799663302</v>
      </c>
      <c r="Y141">
        <v>0.025</v>
      </c>
      <c r="AA141">
        <v>0</v>
      </c>
      <c r="AB141">
        <v>83.43</v>
      </c>
      <c r="AC141">
        <v>13.5</v>
      </c>
      <c r="AD141">
        <v>0</v>
      </c>
      <c r="AE141">
        <v>0</v>
      </c>
      <c r="AF141">
        <v>83.43</v>
      </c>
      <c r="AG141">
        <v>13.5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0.02</v>
      </c>
      <c r="AU141" t="s">
        <v>56</v>
      </c>
      <c r="AV141">
        <v>0</v>
      </c>
      <c r="AW141">
        <v>2</v>
      </c>
      <c r="AX141">
        <v>55463864</v>
      </c>
      <c r="AY141">
        <v>1</v>
      </c>
      <c r="AZ141">
        <v>0</v>
      </c>
      <c r="BA141">
        <v>139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Y141*Source!I118</f>
        <v>0.0055000000000000005</v>
      </c>
      <c r="CY141">
        <f>AB141</f>
        <v>83.43</v>
      </c>
      <c r="CZ141">
        <f>AF141</f>
        <v>83.43</v>
      </c>
      <c r="DA141">
        <f>AJ141</f>
        <v>1</v>
      </c>
      <c r="DB141">
        <f>ROUND((ROUND(AT141*CZ141,2)*ROUND(1.25,7)),2)</f>
        <v>2.09</v>
      </c>
      <c r="DC141">
        <f>ROUND((ROUND(AT141*AG141,2)*ROUND(1.25,7)),2)</f>
        <v>0.34</v>
      </c>
    </row>
    <row r="142" spans="1:107" ht="12.75">
      <c r="A142">
        <f>ROW(Source!A118)</f>
        <v>118</v>
      </c>
      <c r="B142">
        <v>55463411</v>
      </c>
      <c r="C142">
        <v>55463849</v>
      </c>
      <c r="D142">
        <v>53791997</v>
      </c>
      <c r="E142">
        <v>1</v>
      </c>
      <c r="F142">
        <v>1</v>
      </c>
      <c r="G142">
        <v>1</v>
      </c>
      <c r="H142">
        <v>2</v>
      </c>
      <c r="I142" t="s">
        <v>419</v>
      </c>
      <c r="J142" t="s">
        <v>420</v>
      </c>
      <c r="K142" t="s">
        <v>421</v>
      </c>
      <c r="L142">
        <v>1367</v>
      </c>
      <c r="N142">
        <v>1011</v>
      </c>
      <c r="O142" t="s">
        <v>363</v>
      </c>
      <c r="P142" t="s">
        <v>363</v>
      </c>
      <c r="Q142">
        <v>1</v>
      </c>
      <c r="W142">
        <v>0</v>
      </c>
      <c r="X142">
        <v>-430484415</v>
      </c>
      <c r="Y142">
        <v>0.0125</v>
      </c>
      <c r="AA142">
        <v>0</v>
      </c>
      <c r="AB142">
        <v>115.4</v>
      </c>
      <c r="AC142">
        <v>13.5</v>
      </c>
      <c r="AD142">
        <v>0</v>
      </c>
      <c r="AE142">
        <v>0</v>
      </c>
      <c r="AF142">
        <v>115.4</v>
      </c>
      <c r="AG142">
        <v>13.5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0.01</v>
      </c>
      <c r="AU142" t="s">
        <v>56</v>
      </c>
      <c r="AV142">
        <v>0</v>
      </c>
      <c r="AW142">
        <v>2</v>
      </c>
      <c r="AX142">
        <v>55463865</v>
      </c>
      <c r="AY142">
        <v>1</v>
      </c>
      <c r="AZ142">
        <v>0</v>
      </c>
      <c r="BA142">
        <v>140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Y142*Source!I118</f>
        <v>0.0027500000000000003</v>
      </c>
      <c r="CY142">
        <f>AB142</f>
        <v>115.4</v>
      </c>
      <c r="CZ142">
        <f>AF142</f>
        <v>115.4</v>
      </c>
      <c r="DA142">
        <f>AJ142</f>
        <v>1</v>
      </c>
      <c r="DB142">
        <f>ROUND((ROUND(AT142*CZ142,2)*ROUND(1.25,7)),2)</f>
        <v>1.44</v>
      </c>
      <c r="DC142">
        <f>ROUND((ROUND(AT142*AG142,2)*ROUND(1.25,7)),2)</f>
        <v>0.18</v>
      </c>
    </row>
    <row r="143" spans="1:107" ht="12.75">
      <c r="A143">
        <f>ROW(Source!A118)</f>
        <v>118</v>
      </c>
      <c r="B143">
        <v>55463411</v>
      </c>
      <c r="C143">
        <v>55463849</v>
      </c>
      <c r="D143">
        <v>53792314</v>
      </c>
      <c r="E143">
        <v>1</v>
      </c>
      <c r="F143">
        <v>1</v>
      </c>
      <c r="G143">
        <v>1</v>
      </c>
      <c r="H143">
        <v>2</v>
      </c>
      <c r="I143" t="s">
        <v>455</v>
      </c>
      <c r="J143" t="s">
        <v>456</v>
      </c>
      <c r="K143" t="s">
        <v>457</v>
      </c>
      <c r="L143">
        <v>1367</v>
      </c>
      <c r="N143">
        <v>1011</v>
      </c>
      <c r="O143" t="s">
        <v>363</v>
      </c>
      <c r="P143" t="s">
        <v>363</v>
      </c>
      <c r="Q143">
        <v>1</v>
      </c>
      <c r="W143">
        <v>0</v>
      </c>
      <c r="X143">
        <v>1385328552</v>
      </c>
      <c r="Y143">
        <v>2.1125</v>
      </c>
      <c r="AA143">
        <v>0</v>
      </c>
      <c r="AB143">
        <v>12.39</v>
      </c>
      <c r="AC143">
        <v>10.06</v>
      </c>
      <c r="AD143">
        <v>0</v>
      </c>
      <c r="AE143">
        <v>0</v>
      </c>
      <c r="AF143">
        <v>12.39</v>
      </c>
      <c r="AG143">
        <v>10.06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1.69</v>
      </c>
      <c r="AU143" t="s">
        <v>56</v>
      </c>
      <c r="AV143">
        <v>0</v>
      </c>
      <c r="AW143">
        <v>2</v>
      </c>
      <c r="AX143">
        <v>55463866</v>
      </c>
      <c r="AY143">
        <v>1</v>
      </c>
      <c r="AZ143">
        <v>0</v>
      </c>
      <c r="BA143">
        <v>141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Y143*Source!I118</f>
        <v>0.46474999999999994</v>
      </c>
      <c r="CY143">
        <f>AB143</f>
        <v>12.39</v>
      </c>
      <c r="CZ143">
        <f>AF143</f>
        <v>12.39</v>
      </c>
      <c r="DA143">
        <f>AJ143</f>
        <v>1</v>
      </c>
      <c r="DB143">
        <f>ROUND((ROUND(AT143*CZ143,2)*ROUND(1.25,7)),2)</f>
        <v>26.18</v>
      </c>
      <c r="DC143">
        <f>ROUND((ROUND(AT143*AG143,2)*ROUND(1.25,7)),2)</f>
        <v>21.25</v>
      </c>
    </row>
    <row r="144" spans="1:107" ht="12.75">
      <c r="A144">
        <f>ROW(Source!A118)</f>
        <v>118</v>
      </c>
      <c r="B144">
        <v>55463411</v>
      </c>
      <c r="C144">
        <v>55463849</v>
      </c>
      <c r="D144">
        <v>53792927</v>
      </c>
      <c r="E144">
        <v>1</v>
      </c>
      <c r="F144">
        <v>1</v>
      </c>
      <c r="G144">
        <v>1</v>
      </c>
      <c r="H144">
        <v>2</v>
      </c>
      <c r="I144" t="s">
        <v>390</v>
      </c>
      <c r="J144" t="s">
        <v>391</v>
      </c>
      <c r="K144" t="s">
        <v>392</v>
      </c>
      <c r="L144">
        <v>1367</v>
      </c>
      <c r="N144">
        <v>1011</v>
      </c>
      <c r="O144" t="s">
        <v>363</v>
      </c>
      <c r="P144" t="s">
        <v>363</v>
      </c>
      <c r="Q144">
        <v>1</v>
      </c>
      <c r="W144">
        <v>0</v>
      </c>
      <c r="X144">
        <v>509054691</v>
      </c>
      <c r="Y144">
        <v>0.0125</v>
      </c>
      <c r="AA144">
        <v>0</v>
      </c>
      <c r="AB144">
        <v>65.71</v>
      </c>
      <c r="AC144">
        <v>11.6</v>
      </c>
      <c r="AD144">
        <v>0</v>
      </c>
      <c r="AE144">
        <v>0</v>
      </c>
      <c r="AF144">
        <v>65.71</v>
      </c>
      <c r="AG144">
        <v>11.6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0.01</v>
      </c>
      <c r="AU144" t="s">
        <v>56</v>
      </c>
      <c r="AV144">
        <v>0</v>
      </c>
      <c r="AW144">
        <v>2</v>
      </c>
      <c r="AX144">
        <v>55463867</v>
      </c>
      <c r="AY144">
        <v>1</v>
      </c>
      <c r="AZ144">
        <v>0</v>
      </c>
      <c r="BA144">
        <v>142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Y144*Source!I118</f>
        <v>0.0027500000000000003</v>
      </c>
      <c r="CY144">
        <f>AB144</f>
        <v>65.71</v>
      </c>
      <c r="CZ144">
        <f>AF144</f>
        <v>65.71</v>
      </c>
      <c r="DA144">
        <f>AJ144</f>
        <v>1</v>
      </c>
      <c r="DB144">
        <f>ROUND((ROUND(AT144*CZ144,2)*ROUND(1.25,7)),2)</f>
        <v>0.83</v>
      </c>
      <c r="DC144">
        <f>ROUND((ROUND(AT144*AG144,2)*ROUND(1.25,7)),2)</f>
        <v>0.15</v>
      </c>
    </row>
    <row r="145" spans="1:107" ht="12.75">
      <c r="A145">
        <f>ROW(Source!A118)</f>
        <v>118</v>
      </c>
      <c r="B145">
        <v>55463411</v>
      </c>
      <c r="C145">
        <v>55463849</v>
      </c>
      <c r="D145">
        <v>53642555</v>
      </c>
      <c r="E145">
        <v>1</v>
      </c>
      <c r="F145">
        <v>1</v>
      </c>
      <c r="G145">
        <v>1</v>
      </c>
      <c r="H145">
        <v>3</v>
      </c>
      <c r="I145" t="s">
        <v>411</v>
      </c>
      <c r="J145" t="s">
        <v>412</v>
      </c>
      <c r="K145" t="s">
        <v>413</v>
      </c>
      <c r="L145">
        <v>1339</v>
      </c>
      <c r="N145">
        <v>1007</v>
      </c>
      <c r="O145" t="s">
        <v>160</v>
      </c>
      <c r="P145" t="s">
        <v>160</v>
      </c>
      <c r="Q145">
        <v>1</v>
      </c>
      <c r="W145">
        <v>0</v>
      </c>
      <c r="X145">
        <v>-143474561</v>
      </c>
      <c r="Y145">
        <v>0.44</v>
      </c>
      <c r="AA145">
        <v>2.44</v>
      </c>
      <c r="AB145">
        <v>0</v>
      </c>
      <c r="AC145">
        <v>0</v>
      </c>
      <c r="AD145">
        <v>0</v>
      </c>
      <c r="AE145">
        <v>2.44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0.44</v>
      </c>
      <c r="AV145">
        <v>0</v>
      </c>
      <c r="AW145">
        <v>2</v>
      </c>
      <c r="AX145">
        <v>55463868</v>
      </c>
      <c r="AY145">
        <v>1</v>
      </c>
      <c r="AZ145">
        <v>0</v>
      </c>
      <c r="BA145">
        <v>143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Y145*Source!I118</f>
        <v>0.0968</v>
      </c>
      <c r="CY145">
        <f aca="true" t="shared" si="15" ref="CY145:CY150">AA145</f>
        <v>2.44</v>
      </c>
      <c r="CZ145">
        <f aca="true" t="shared" si="16" ref="CZ145:CZ150">AE145</f>
        <v>2.44</v>
      </c>
      <c r="DA145">
        <f aca="true" t="shared" si="17" ref="DA145:DA150">AI145</f>
        <v>1</v>
      </c>
      <c r="DB145">
        <f aca="true" t="shared" si="18" ref="DB145:DB150">ROUND(ROUND(AT145*CZ145,2),2)</f>
        <v>1.07</v>
      </c>
      <c r="DC145">
        <f aca="true" t="shared" si="19" ref="DC145:DC150">ROUND(ROUND(AT145*AG145,2),2)</f>
        <v>0</v>
      </c>
    </row>
    <row r="146" spans="1:107" ht="12.75">
      <c r="A146">
        <f>ROW(Source!A118)</f>
        <v>118</v>
      </c>
      <c r="B146">
        <v>55463411</v>
      </c>
      <c r="C146">
        <v>55463849</v>
      </c>
      <c r="D146">
        <v>53648059</v>
      </c>
      <c r="E146">
        <v>1</v>
      </c>
      <c r="F146">
        <v>1</v>
      </c>
      <c r="G146">
        <v>1</v>
      </c>
      <c r="H146">
        <v>3</v>
      </c>
      <c r="I146" t="s">
        <v>237</v>
      </c>
      <c r="J146" t="s">
        <v>239</v>
      </c>
      <c r="K146" t="s">
        <v>238</v>
      </c>
      <c r="L146">
        <v>1348</v>
      </c>
      <c r="N146">
        <v>1009</v>
      </c>
      <c r="O146" t="s">
        <v>36</v>
      </c>
      <c r="P146" t="s">
        <v>36</v>
      </c>
      <c r="Q146">
        <v>1000</v>
      </c>
      <c r="W146">
        <v>0</v>
      </c>
      <c r="X146">
        <v>-1724628855</v>
      </c>
      <c r="Y146">
        <v>0.013</v>
      </c>
      <c r="AA146">
        <v>6513</v>
      </c>
      <c r="AB146">
        <v>0</v>
      </c>
      <c r="AC146">
        <v>0</v>
      </c>
      <c r="AD146">
        <v>0</v>
      </c>
      <c r="AE146">
        <v>6513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0.013</v>
      </c>
      <c r="AV146">
        <v>0</v>
      </c>
      <c r="AW146">
        <v>2</v>
      </c>
      <c r="AX146">
        <v>55463869</v>
      </c>
      <c r="AY146">
        <v>1</v>
      </c>
      <c r="AZ146">
        <v>0</v>
      </c>
      <c r="BA146">
        <v>144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Y146*Source!I118</f>
        <v>0.0028599999999999997</v>
      </c>
      <c r="CY146">
        <f t="shared" si="15"/>
        <v>6513</v>
      </c>
      <c r="CZ146">
        <f t="shared" si="16"/>
        <v>6513</v>
      </c>
      <c r="DA146">
        <f t="shared" si="17"/>
        <v>1</v>
      </c>
      <c r="DB146">
        <f t="shared" si="18"/>
        <v>84.67</v>
      </c>
      <c r="DC146">
        <f t="shared" si="19"/>
        <v>0</v>
      </c>
    </row>
    <row r="147" spans="1:107" ht="12.75">
      <c r="A147">
        <f>ROW(Source!A118)</f>
        <v>118</v>
      </c>
      <c r="B147">
        <v>55463411</v>
      </c>
      <c r="C147">
        <v>55463849</v>
      </c>
      <c r="D147">
        <v>53657944</v>
      </c>
      <c r="E147">
        <v>1</v>
      </c>
      <c r="F147">
        <v>1</v>
      </c>
      <c r="G147">
        <v>1</v>
      </c>
      <c r="H147">
        <v>3</v>
      </c>
      <c r="I147" t="s">
        <v>245</v>
      </c>
      <c r="J147" t="s">
        <v>247</v>
      </c>
      <c r="K147" t="s">
        <v>246</v>
      </c>
      <c r="L147">
        <v>1327</v>
      </c>
      <c r="N147">
        <v>1005</v>
      </c>
      <c r="O147" t="s">
        <v>165</v>
      </c>
      <c r="P147" t="s">
        <v>165</v>
      </c>
      <c r="Q147">
        <v>1</v>
      </c>
      <c r="W147">
        <v>0</v>
      </c>
      <c r="X147">
        <v>-289686462</v>
      </c>
      <c r="Y147">
        <v>105</v>
      </c>
      <c r="AA147">
        <v>140.45</v>
      </c>
      <c r="AB147">
        <v>0</v>
      </c>
      <c r="AC147">
        <v>0</v>
      </c>
      <c r="AD147">
        <v>0</v>
      </c>
      <c r="AE147">
        <v>140.45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T147">
        <v>105</v>
      </c>
      <c r="AV147">
        <v>0</v>
      </c>
      <c r="AW147">
        <v>1</v>
      </c>
      <c r="AX147">
        <v>-1</v>
      </c>
      <c r="AY147">
        <v>0</v>
      </c>
      <c r="AZ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Y147*Source!I118</f>
        <v>23.1</v>
      </c>
      <c r="CY147">
        <f t="shared" si="15"/>
        <v>140.45</v>
      </c>
      <c r="CZ147">
        <f t="shared" si="16"/>
        <v>140.45</v>
      </c>
      <c r="DA147">
        <f t="shared" si="17"/>
        <v>1</v>
      </c>
      <c r="DB147">
        <f t="shared" si="18"/>
        <v>14747.25</v>
      </c>
      <c r="DC147">
        <f t="shared" si="19"/>
        <v>0</v>
      </c>
    </row>
    <row r="148" spans="1:107" ht="12.75">
      <c r="A148">
        <f>ROW(Source!A118)</f>
        <v>118</v>
      </c>
      <c r="B148">
        <v>55463411</v>
      </c>
      <c r="C148">
        <v>55463849</v>
      </c>
      <c r="D148">
        <v>53666529</v>
      </c>
      <c r="E148">
        <v>1</v>
      </c>
      <c r="F148">
        <v>1</v>
      </c>
      <c r="G148">
        <v>1</v>
      </c>
      <c r="H148">
        <v>3</v>
      </c>
      <c r="I148" t="s">
        <v>249</v>
      </c>
      <c r="J148" t="s">
        <v>251</v>
      </c>
      <c r="K148" t="s">
        <v>250</v>
      </c>
      <c r="L148">
        <v>1339</v>
      </c>
      <c r="N148">
        <v>1007</v>
      </c>
      <c r="O148" t="s">
        <v>160</v>
      </c>
      <c r="P148" t="s">
        <v>160</v>
      </c>
      <c r="Q148">
        <v>1</v>
      </c>
      <c r="W148">
        <v>0</v>
      </c>
      <c r="X148">
        <v>541221097</v>
      </c>
      <c r="Y148">
        <v>0.01</v>
      </c>
      <c r="AA148">
        <v>65509.97</v>
      </c>
      <c r="AB148">
        <v>0</v>
      </c>
      <c r="AC148">
        <v>0</v>
      </c>
      <c r="AD148">
        <v>0</v>
      </c>
      <c r="AE148">
        <v>65509.97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T148">
        <v>0.01</v>
      </c>
      <c r="AV148">
        <v>0</v>
      </c>
      <c r="AW148">
        <v>1</v>
      </c>
      <c r="AX148">
        <v>-1</v>
      </c>
      <c r="AY148">
        <v>0</v>
      </c>
      <c r="AZ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Y148*Source!I118</f>
        <v>0.0022</v>
      </c>
      <c r="CY148">
        <f t="shared" si="15"/>
        <v>65509.97</v>
      </c>
      <c r="CZ148">
        <f t="shared" si="16"/>
        <v>65509.97</v>
      </c>
      <c r="DA148">
        <f t="shared" si="17"/>
        <v>1</v>
      </c>
      <c r="DB148">
        <f t="shared" si="18"/>
        <v>655.1</v>
      </c>
      <c r="DC148">
        <f t="shared" si="19"/>
        <v>0</v>
      </c>
    </row>
    <row r="149" spans="1:107" ht="12.75">
      <c r="A149">
        <f>ROW(Source!A118)</f>
        <v>118</v>
      </c>
      <c r="B149">
        <v>55463411</v>
      </c>
      <c r="C149">
        <v>55463849</v>
      </c>
      <c r="D149">
        <v>53672889</v>
      </c>
      <c r="E149">
        <v>1</v>
      </c>
      <c r="F149">
        <v>1</v>
      </c>
      <c r="G149">
        <v>1</v>
      </c>
      <c r="H149">
        <v>3</v>
      </c>
      <c r="I149" t="s">
        <v>253</v>
      </c>
      <c r="J149" t="s">
        <v>255</v>
      </c>
      <c r="K149" t="s">
        <v>254</v>
      </c>
      <c r="L149">
        <v>1348</v>
      </c>
      <c r="N149">
        <v>1009</v>
      </c>
      <c r="O149" t="s">
        <v>36</v>
      </c>
      <c r="P149" t="s">
        <v>36</v>
      </c>
      <c r="Q149">
        <v>1000</v>
      </c>
      <c r="W149">
        <v>0</v>
      </c>
      <c r="X149">
        <v>1025007605</v>
      </c>
      <c r="Y149">
        <v>1.2</v>
      </c>
      <c r="AA149">
        <v>2919.43</v>
      </c>
      <c r="AB149">
        <v>0</v>
      </c>
      <c r="AC149">
        <v>0</v>
      </c>
      <c r="AD149">
        <v>0</v>
      </c>
      <c r="AE149">
        <v>2919.43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T149">
        <v>1.2</v>
      </c>
      <c r="AV149">
        <v>0</v>
      </c>
      <c r="AW149">
        <v>1</v>
      </c>
      <c r="AX149">
        <v>-1</v>
      </c>
      <c r="AY149">
        <v>0</v>
      </c>
      <c r="AZ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Y149*Source!I118</f>
        <v>0.264</v>
      </c>
      <c r="CY149">
        <f t="shared" si="15"/>
        <v>2919.43</v>
      </c>
      <c r="CZ149">
        <f t="shared" si="16"/>
        <v>2919.43</v>
      </c>
      <c r="DA149">
        <f t="shared" si="17"/>
        <v>1</v>
      </c>
      <c r="DB149">
        <f t="shared" si="18"/>
        <v>3503.32</v>
      </c>
      <c r="DC149">
        <f t="shared" si="19"/>
        <v>0</v>
      </c>
    </row>
    <row r="150" spans="1:107" ht="12.75">
      <c r="A150">
        <f>ROW(Source!A118)</f>
        <v>118</v>
      </c>
      <c r="B150">
        <v>55463411</v>
      </c>
      <c r="C150">
        <v>55463849</v>
      </c>
      <c r="D150">
        <v>53673681</v>
      </c>
      <c r="E150">
        <v>1</v>
      </c>
      <c r="F150">
        <v>1</v>
      </c>
      <c r="G150">
        <v>1</v>
      </c>
      <c r="H150">
        <v>3</v>
      </c>
      <c r="I150" t="s">
        <v>257</v>
      </c>
      <c r="J150" t="s">
        <v>259</v>
      </c>
      <c r="K150" t="s">
        <v>258</v>
      </c>
      <c r="L150">
        <v>1346</v>
      </c>
      <c r="N150">
        <v>1009</v>
      </c>
      <c r="O150" t="s">
        <v>194</v>
      </c>
      <c r="P150" t="s">
        <v>194</v>
      </c>
      <c r="Q150">
        <v>1</v>
      </c>
      <c r="W150">
        <v>0</v>
      </c>
      <c r="X150">
        <v>-1209026283</v>
      </c>
      <c r="Y150">
        <v>20.454545</v>
      </c>
      <c r="AA150">
        <v>13.08</v>
      </c>
      <c r="AB150">
        <v>0</v>
      </c>
      <c r="AC150">
        <v>0</v>
      </c>
      <c r="AD150">
        <v>0</v>
      </c>
      <c r="AE150">
        <v>13.08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T150">
        <v>20.454545</v>
      </c>
      <c r="AV150">
        <v>0</v>
      </c>
      <c r="AW150">
        <v>1</v>
      </c>
      <c r="AX150">
        <v>-1</v>
      </c>
      <c r="AY150">
        <v>0</v>
      </c>
      <c r="AZ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Y150*Source!I118</f>
        <v>4.4999999</v>
      </c>
      <c r="CY150">
        <f t="shared" si="15"/>
        <v>13.08</v>
      </c>
      <c r="CZ150">
        <f t="shared" si="16"/>
        <v>13.08</v>
      </c>
      <c r="DA150">
        <f t="shared" si="17"/>
        <v>1</v>
      </c>
      <c r="DB150">
        <f t="shared" si="18"/>
        <v>267.55</v>
      </c>
      <c r="DC150">
        <f t="shared" si="19"/>
        <v>0</v>
      </c>
    </row>
    <row r="151" spans="1:107" ht="12.75">
      <c r="A151">
        <f>ROW(Source!A119)</f>
        <v>119</v>
      </c>
      <c r="B151">
        <v>55463412</v>
      </c>
      <c r="C151">
        <v>55463849</v>
      </c>
      <c r="D151">
        <v>53630071</v>
      </c>
      <c r="E151">
        <v>70</v>
      </c>
      <c r="F151">
        <v>1</v>
      </c>
      <c r="G151">
        <v>1</v>
      </c>
      <c r="H151">
        <v>1</v>
      </c>
      <c r="I151" t="s">
        <v>450</v>
      </c>
      <c r="K151" t="s">
        <v>451</v>
      </c>
      <c r="L151">
        <v>1191</v>
      </c>
      <c r="N151">
        <v>1013</v>
      </c>
      <c r="O151" t="s">
        <v>357</v>
      </c>
      <c r="P151" t="s">
        <v>357</v>
      </c>
      <c r="Q151">
        <v>1</v>
      </c>
      <c r="W151">
        <v>0</v>
      </c>
      <c r="X151">
        <v>784619160</v>
      </c>
      <c r="Y151">
        <v>356.983</v>
      </c>
      <c r="AA151">
        <v>0</v>
      </c>
      <c r="AB151">
        <v>0</v>
      </c>
      <c r="AC151">
        <v>0</v>
      </c>
      <c r="AD151">
        <v>318.75</v>
      </c>
      <c r="AE151">
        <v>0</v>
      </c>
      <c r="AF151">
        <v>0</v>
      </c>
      <c r="AG151">
        <v>0</v>
      </c>
      <c r="AH151">
        <v>8.74</v>
      </c>
      <c r="AI151">
        <v>1</v>
      </c>
      <c r="AJ151">
        <v>1</v>
      </c>
      <c r="AK151">
        <v>1</v>
      </c>
      <c r="AL151">
        <v>36.47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310.42</v>
      </c>
      <c r="AU151" t="s">
        <v>57</v>
      </c>
      <c r="AV151">
        <v>1</v>
      </c>
      <c r="AW151">
        <v>2</v>
      </c>
      <c r="AX151">
        <v>55463862</v>
      </c>
      <c r="AY151">
        <v>1</v>
      </c>
      <c r="AZ151">
        <v>0</v>
      </c>
      <c r="BA151">
        <v>149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Y151*Source!I119</f>
        <v>78.53626</v>
      </c>
      <c r="CY151">
        <f>AD151</f>
        <v>318.75</v>
      </c>
      <c r="CZ151">
        <f>AH151</f>
        <v>8.74</v>
      </c>
      <c r="DA151">
        <f>AL151</f>
        <v>36.47</v>
      </c>
      <c r="DB151">
        <f>ROUND((ROUND(AT151*CZ151,2)*ROUND(1.15,7)),2)</f>
        <v>3120.03</v>
      </c>
      <c r="DC151">
        <f>ROUND((ROUND(AT151*AG151,2)*ROUND(1.15,7)),2)</f>
        <v>0</v>
      </c>
    </row>
    <row r="152" spans="1:107" ht="12.75">
      <c r="A152">
        <f>ROW(Source!A119)</f>
        <v>119</v>
      </c>
      <c r="B152">
        <v>55463412</v>
      </c>
      <c r="C152">
        <v>55463849</v>
      </c>
      <c r="D152">
        <v>53630257</v>
      </c>
      <c r="E152">
        <v>70</v>
      </c>
      <c r="F152">
        <v>1</v>
      </c>
      <c r="G152">
        <v>1</v>
      </c>
      <c r="H152">
        <v>1</v>
      </c>
      <c r="I152" t="s">
        <v>358</v>
      </c>
      <c r="K152" t="s">
        <v>359</v>
      </c>
      <c r="L152">
        <v>1191</v>
      </c>
      <c r="N152">
        <v>1013</v>
      </c>
      <c r="O152" t="s">
        <v>357</v>
      </c>
      <c r="P152" t="s">
        <v>357</v>
      </c>
      <c r="Q152">
        <v>1</v>
      </c>
      <c r="W152">
        <v>0</v>
      </c>
      <c r="X152">
        <v>-1417349443</v>
      </c>
      <c r="Y152">
        <v>2.1625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36.47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1.73</v>
      </c>
      <c r="AU152" t="s">
        <v>56</v>
      </c>
      <c r="AV152">
        <v>2</v>
      </c>
      <c r="AW152">
        <v>2</v>
      </c>
      <c r="AX152">
        <v>55463863</v>
      </c>
      <c r="AY152">
        <v>1</v>
      </c>
      <c r="AZ152">
        <v>0</v>
      </c>
      <c r="BA152">
        <v>150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Y152*Source!I119</f>
        <v>0.47575</v>
      </c>
      <c r="CY152">
        <f>AD152</f>
        <v>0</v>
      </c>
      <c r="CZ152">
        <f>AH152</f>
        <v>0</v>
      </c>
      <c r="DA152">
        <f>AL152</f>
        <v>1</v>
      </c>
      <c r="DB152">
        <f>ROUND((ROUND(AT152*CZ152,2)*ROUND(1.25,7)),2)</f>
        <v>0</v>
      </c>
      <c r="DC152">
        <f>ROUND((ROUND(AT152*AG152,2)*ROUND(1.25,7)),2)</f>
        <v>0</v>
      </c>
    </row>
    <row r="153" spans="1:107" ht="12.75">
      <c r="A153">
        <f>ROW(Source!A119)</f>
        <v>119</v>
      </c>
      <c r="B153">
        <v>55463412</v>
      </c>
      <c r="C153">
        <v>55463849</v>
      </c>
      <c r="D153">
        <v>53791938</v>
      </c>
      <c r="E153">
        <v>1</v>
      </c>
      <c r="F153">
        <v>1</v>
      </c>
      <c r="G153">
        <v>1</v>
      </c>
      <c r="H153">
        <v>2</v>
      </c>
      <c r="I153" t="s">
        <v>452</v>
      </c>
      <c r="J153" t="s">
        <v>453</v>
      </c>
      <c r="K153" t="s">
        <v>454</v>
      </c>
      <c r="L153">
        <v>1367</v>
      </c>
      <c r="N153">
        <v>1011</v>
      </c>
      <c r="O153" t="s">
        <v>363</v>
      </c>
      <c r="P153" t="s">
        <v>363</v>
      </c>
      <c r="Q153">
        <v>1</v>
      </c>
      <c r="W153">
        <v>0</v>
      </c>
      <c r="X153">
        <v>-1799663302</v>
      </c>
      <c r="Y153">
        <v>0.025</v>
      </c>
      <c r="AA153">
        <v>0</v>
      </c>
      <c r="AB153">
        <v>1082.09</v>
      </c>
      <c r="AC153">
        <v>492.35</v>
      </c>
      <c r="AD153">
        <v>0</v>
      </c>
      <c r="AE153">
        <v>0</v>
      </c>
      <c r="AF153">
        <v>83.43</v>
      </c>
      <c r="AG153">
        <v>13.5</v>
      </c>
      <c r="AH153">
        <v>0</v>
      </c>
      <c r="AI153">
        <v>1</v>
      </c>
      <c r="AJ153">
        <v>12.97</v>
      </c>
      <c r="AK153">
        <v>36.47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0.02</v>
      </c>
      <c r="AU153" t="s">
        <v>56</v>
      </c>
      <c r="AV153">
        <v>0</v>
      </c>
      <c r="AW153">
        <v>2</v>
      </c>
      <c r="AX153">
        <v>55463864</v>
      </c>
      <c r="AY153">
        <v>1</v>
      </c>
      <c r="AZ153">
        <v>0</v>
      </c>
      <c r="BA153">
        <v>151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Y153*Source!I119</f>
        <v>0.0055000000000000005</v>
      </c>
      <c r="CY153">
        <f>AB153</f>
        <v>1082.09</v>
      </c>
      <c r="CZ153">
        <f>AF153</f>
        <v>83.43</v>
      </c>
      <c r="DA153">
        <f>AJ153</f>
        <v>12.97</v>
      </c>
      <c r="DB153">
        <f>ROUND((ROUND(AT153*CZ153,2)*ROUND(1.25,7)),2)</f>
        <v>2.09</v>
      </c>
      <c r="DC153">
        <f>ROUND((ROUND(AT153*AG153,2)*ROUND(1.25,7)),2)</f>
        <v>0.34</v>
      </c>
    </row>
    <row r="154" spans="1:107" ht="12.75">
      <c r="A154">
        <f>ROW(Source!A119)</f>
        <v>119</v>
      </c>
      <c r="B154">
        <v>55463412</v>
      </c>
      <c r="C154">
        <v>55463849</v>
      </c>
      <c r="D154">
        <v>53791997</v>
      </c>
      <c r="E154">
        <v>1</v>
      </c>
      <c r="F154">
        <v>1</v>
      </c>
      <c r="G154">
        <v>1</v>
      </c>
      <c r="H154">
        <v>2</v>
      </c>
      <c r="I154" t="s">
        <v>419</v>
      </c>
      <c r="J154" t="s">
        <v>420</v>
      </c>
      <c r="K154" t="s">
        <v>421</v>
      </c>
      <c r="L154">
        <v>1367</v>
      </c>
      <c r="N154">
        <v>1011</v>
      </c>
      <c r="O154" t="s">
        <v>363</v>
      </c>
      <c r="P154" t="s">
        <v>363</v>
      </c>
      <c r="Q154">
        <v>1</v>
      </c>
      <c r="W154">
        <v>0</v>
      </c>
      <c r="X154">
        <v>-430484415</v>
      </c>
      <c r="Y154">
        <v>0.0125</v>
      </c>
      <c r="AA154">
        <v>0</v>
      </c>
      <c r="AB154">
        <v>1496.74</v>
      </c>
      <c r="AC154">
        <v>492.35</v>
      </c>
      <c r="AD154">
        <v>0</v>
      </c>
      <c r="AE154">
        <v>0</v>
      </c>
      <c r="AF154">
        <v>115.4</v>
      </c>
      <c r="AG154">
        <v>13.5</v>
      </c>
      <c r="AH154">
        <v>0</v>
      </c>
      <c r="AI154">
        <v>1</v>
      </c>
      <c r="AJ154">
        <v>12.97</v>
      </c>
      <c r="AK154">
        <v>36.47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0.01</v>
      </c>
      <c r="AU154" t="s">
        <v>56</v>
      </c>
      <c r="AV154">
        <v>0</v>
      </c>
      <c r="AW154">
        <v>2</v>
      </c>
      <c r="AX154">
        <v>55463865</v>
      </c>
      <c r="AY154">
        <v>1</v>
      </c>
      <c r="AZ154">
        <v>0</v>
      </c>
      <c r="BA154">
        <v>152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Y154*Source!I119</f>
        <v>0.0027500000000000003</v>
      </c>
      <c r="CY154">
        <f>AB154</f>
        <v>1496.74</v>
      </c>
      <c r="CZ154">
        <f>AF154</f>
        <v>115.4</v>
      </c>
      <c r="DA154">
        <f>AJ154</f>
        <v>12.97</v>
      </c>
      <c r="DB154">
        <f>ROUND((ROUND(AT154*CZ154,2)*ROUND(1.25,7)),2)</f>
        <v>1.44</v>
      </c>
      <c r="DC154">
        <f>ROUND((ROUND(AT154*AG154,2)*ROUND(1.25,7)),2)</f>
        <v>0.18</v>
      </c>
    </row>
    <row r="155" spans="1:107" ht="12.75">
      <c r="A155">
        <f>ROW(Source!A119)</f>
        <v>119</v>
      </c>
      <c r="B155">
        <v>55463412</v>
      </c>
      <c r="C155">
        <v>55463849</v>
      </c>
      <c r="D155">
        <v>53792314</v>
      </c>
      <c r="E155">
        <v>1</v>
      </c>
      <c r="F155">
        <v>1</v>
      </c>
      <c r="G155">
        <v>1</v>
      </c>
      <c r="H155">
        <v>2</v>
      </c>
      <c r="I155" t="s">
        <v>455</v>
      </c>
      <c r="J155" t="s">
        <v>456</v>
      </c>
      <c r="K155" t="s">
        <v>457</v>
      </c>
      <c r="L155">
        <v>1367</v>
      </c>
      <c r="N155">
        <v>1011</v>
      </c>
      <c r="O155" t="s">
        <v>363</v>
      </c>
      <c r="P155" t="s">
        <v>363</v>
      </c>
      <c r="Q155">
        <v>1</v>
      </c>
      <c r="W155">
        <v>0</v>
      </c>
      <c r="X155">
        <v>1385328552</v>
      </c>
      <c r="Y155">
        <v>2.1125</v>
      </c>
      <c r="AA155">
        <v>0</v>
      </c>
      <c r="AB155">
        <v>160.7</v>
      </c>
      <c r="AC155">
        <v>366.89</v>
      </c>
      <c r="AD155">
        <v>0</v>
      </c>
      <c r="AE155">
        <v>0</v>
      </c>
      <c r="AF155">
        <v>12.39</v>
      </c>
      <c r="AG155">
        <v>10.06</v>
      </c>
      <c r="AH155">
        <v>0</v>
      </c>
      <c r="AI155">
        <v>1</v>
      </c>
      <c r="AJ155">
        <v>12.97</v>
      </c>
      <c r="AK155">
        <v>36.47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1.69</v>
      </c>
      <c r="AU155" t="s">
        <v>56</v>
      </c>
      <c r="AV155">
        <v>0</v>
      </c>
      <c r="AW155">
        <v>2</v>
      </c>
      <c r="AX155">
        <v>55463866</v>
      </c>
      <c r="AY155">
        <v>1</v>
      </c>
      <c r="AZ155">
        <v>0</v>
      </c>
      <c r="BA155">
        <v>153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Y155*Source!I119</f>
        <v>0.46474999999999994</v>
      </c>
      <c r="CY155">
        <f>AB155</f>
        <v>160.7</v>
      </c>
      <c r="CZ155">
        <f>AF155</f>
        <v>12.39</v>
      </c>
      <c r="DA155">
        <f>AJ155</f>
        <v>12.97</v>
      </c>
      <c r="DB155">
        <f>ROUND((ROUND(AT155*CZ155,2)*ROUND(1.25,7)),2)</f>
        <v>26.18</v>
      </c>
      <c r="DC155">
        <f>ROUND((ROUND(AT155*AG155,2)*ROUND(1.25,7)),2)</f>
        <v>21.25</v>
      </c>
    </row>
    <row r="156" spans="1:107" ht="12.75">
      <c r="A156">
        <f>ROW(Source!A119)</f>
        <v>119</v>
      </c>
      <c r="B156">
        <v>55463412</v>
      </c>
      <c r="C156">
        <v>55463849</v>
      </c>
      <c r="D156">
        <v>53792927</v>
      </c>
      <c r="E156">
        <v>1</v>
      </c>
      <c r="F156">
        <v>1</v>
      </c>
      <c r="G156">
        <v>1</v>
      </c>
      <c r="H156">
        <v>2</v>
      </c>
      <c r="I156" t="s">
        <v>390</v>
      </c>
      <c r="J156" t="s">
        <v>391</v>
      </c>
      <c r="K156" t="s">
        <v>392</v>
      </c>
      <c r="L156">
        <v>1367</v>
      </c>
      <c r="N156">
        <v>1011</v>
      </c>
      <c r="O156" t="s">
        <v>363</v>
      </c>
      <c r="P156" t="s">
        <v>363</v>
      </c>
      <c r="Q156">
        <v>1</v>
      </c>
      <c r="W156">
        <v>0</v>
      </c>
      <c r="X156">
        <v>509054691</v>
      </c>
      <c r="Y156">
        <v>0.0125</v>
      </c>
      <c r="AA156">
        <v>0</v>
      </c>
      <c r="AB156">
        <v>852.26</v>
      </c>
      <c r="AC156">
        <v>423.05</v>
      </c>
      <c r="AD156">
        <v>0</v>
      </c>
      <c r="AE156">
        <v>0</v>
      </c>
      <c r="AF156">
        <v>65.71</v>
      </c>
      <c r="AG156">
        <v>11.6</v>
      </c>
      <c r="AH156">
        <v>0</v>
      </c>
      <c r="AI156">
        <v>1</v>
      </c>
      <c r="AJ156">
        <v>12.97</v>
      </c>
      <c r="AK156">
        <v>36.47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0.01</v>
      </c>
      <c r="AU156" t="s">
        <v>56</v>
      </c>
      <c r="AV156">
        <v>0</v>
      </c>
      <c r="AW156">
        <v>2</v>
      </c>
      <c r="AX156">
        <v>55463867</v>
      </c>
      <c r="AY156">
        <v>1</v>
      </c>
      <c r="AZ156">
        <v>0</v>
      </c>
      <c r="BA156">
        <v>154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Y156*Source!I119</f>
        <v>0.0027500000000000003</v>
      </c>
      <c r="CY156">
        <f>AB156</f>
        <v>852.26</v>
      </c>
      <c r="CZ156">
        <f>AF156</f>
        <v>65.71</v>
      </c>
      <c r="DA156">
        <f>AJ156</f>
        <v>12.97</v>
      </c>
      <c r="DB156">
        <f>ROUND((ROUND(AT156*CZ156,2)*ROUND(1.25,7)),2)</f>
        <v>0.83</v>
      </c>
      <c r="DC156">
        <f>ROUND((ROUND(AT156*AG156,2)*ROUND(1.25,7)),2)</f>
        <v>0.15</v>
      </c>
    </row>
    <row r="157" spans="1:107" ht="12.75">
      <c r="A157">
        <f>ROW(Source!A119)</f>
        <v>119</v>
      </c>
      <c r="B157">
        <v>55463412</v>
      </c>
      <c r="C157">
        <v>55463849</v>
      </c>
      <c r="D157">
        <v>53642555</v>
      </c>
      <c r="E157">
        <v>1</v>
      </c>
      <c r="F157">
        <v>1</v>
      </c>
      <c r="G157">
        <v>1</v>
      </c>
      <c r="H157">
        <v>3</v>
      </c>
      <c r="I157" t="s">
        <v>411</v>
      </c>
      <c r="J157" t="s">
        <v>412</v>
      </c>
      <c r="K157" t="s">
        <v>413</v>
      </c>
      <c r="L157">
        <v>1339</v>
      </c>
      <c r="N157">
        <v>1007</v>
      </c>
      <c r="O157" t="s">
        <v>160</v>
      </c>
      <c r="P157" t="s">
        <v>160</v>
      </c>
      <c r="Q157">
        <v>1</v>
      </c>
      <c r="W157">
        <v>0</v>
      </c>
      <c r="X157">
        <v>-143474561</v>
      </c>
      <c r="Y157">
        <v>0.44</v>
      </c>
      <c r="AA157">
        <v>16.64</v>
      </c>
      <c r="AB157">
        <v>0</v>
      </c>
      <c r="AC157">
        <v>0</v>
      </c>
      <c r="AD157">
        <v>0</v>
      </c>
      <c r="AE157">
        <v>2.44</v>
      </c>
      <c r="AF157">
        <v>0</v>
      </c>
      <c r="AG157">
        <v>0</v>
      </c>
      <c r="AH157">
        <v>0</v>
      </c>
      <c r="AI157">
        <v>6.82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0.44</v>
      </c>
      <c r="AV157">
        <v>0</v>
      </c>
      <c r="AW157">
        <v>2</v>
      </c>
      <c r="AX157">
        <v>55463868</v>
      </c>
      <c r="AY157">
        <v>1</v>
      </c>
      <c r="AZ157">
        <v>0</v>
      </c>
      <c r="BA157">
        <v>155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Y157*Source!I119</f>
        <v>0.0968</v>
      </c>
      <c r="CY157">
        <f aca="true" t="shared" si="20" ref="CY157:CY162">AA157</f>
        <v>16.64</v>
      </c>
      <c r="CZ157">
        <f aca="true" t="shared" si="21" ref="CZ157:CZ162">AE157</f>
        <v>2.44</v>
      </c>
      <c r="DA157">
        <f aca="true" t="shared" si="22" ref="DA157:DA162">AI157</f>
        <v>6.82</v>
      </c>
      <c r="DB157">
        <f aca="true" t="shared" si="23" ref="DB157:DB162">ROUND(ROUND(AT157*CZ157,2),2)</f>
        <v>1.07</v>
      </c>
      <c r="DC157">
        <f aca="true" t="shared" si="24" ref="DC157:DC162">ROUND(ROUND(AT157*AG157,2),2)</f>
        <v>0</v>
      </c>
    </row>
    <row r="158" spans="1:107" ht="12.75">
      <c r="A158">
        <f>ROW(Source!A119)</f>
        <v>119</v>
      </c>
      <c r="B158">
        <v>55463412</v>
      </c>
      <c r="C158">
        <v>55463849</v>
      </c>
      <c r="D158">
        <v>53648059</v>
      </c>
      <c r="E158">
        <v>1</v>
      </c>
      <c r="F158">
        <v>1</v>
      </c>
      <c r="G158">
        <v>1</v>
      </c>
      <c r="H158">
        <v>3</v>
      </c>
      <c r="I158" t="s">
        <v>237</v>
      </c>
      <c r="J158" t="s">
        <v>239</v>
      </c>
      <c r="K158" t="s">
        <v>238</v>
      </c>
      <c r="L158">
        <v>1348</v>
      </c>
      <c r="N158">
        <v>1009</v>
      </c>
      <c r="O158" t="s">
        <v>36</v>
      </c>
      <c r="P158" t="s">
        <v>36</v>
      </c>
      <c r="Q158">
        <v>1000</v>
      </c>
      <c r="W158">
        <v>0</v>
      </c>
      <c r="X158">
        <v>-1724628855</v>
      </c>
      <c r="Y158">
        <v>0.013</v>
      </c>
      <c r="AA158">
        <v>44418.66</v>
      </c>
      <c r="AB158">
        <v>0</v>
      </c>
      <c r="AC158">
        <v>0</v>
      </c>
      <c r="AD158">
        <v>0</v>
      </c>
      <c r="AE158">
        <v>6513</v>
      </c>
      <c r="AF158">
        <v>0</v>
      </c>
      <c r="AG158">
        <v>0</v>
      </c>
      <c r="AH158">
        <v>0</v>
      </c>
      <c r="AI158">
        <v>6.82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0.013</v>
      </c>
      <c r="AV158">
        <v>0</v>
      </c>
      <c r="AW158">
        <v>2</v>
      </c>
      <c r="AX158">
        <v>55463869</v>
      </c>
      <c r="AY158">
        <v>1</v>
      </c>
      <c r="AZ158">
        <v>0</v>
      </c>
      <c r="BA158">
        <v>156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Y158*Source!I119</f>
        <v>0.0028599999999999997</v>
      </c>
      <c r="CY158">
        <f t="shared" si="20"/>
        <v>44418.66</v>
      </c>
      <c r="CZ158">
        <f t="shared" si="21"/>
        <v>6513</v>
      </c>
      <c r="DA158">
        <f t="shared" si="22"/>
        <v>6.82</v>
      </c>
      <c r="DB158">
        <f t="shared" si="23"/>
        <v>84.67</v>
      </c>
      <c r="DC158">
        <f t="shared" si="24"/>
        <v>0</v>
      </c>
    </row>
    <row r="159" spans="1:107" ht="12.75">
      <c r="A159">
        <f>ROW(Source!A119)</f>
        <v>119</v>
      </c>
      <c r="B159">
        <v>55463412</v>
      </c>
      <c r="C159">
        <v>55463849</v>
      </c>
      <c r="D159">
        <v>53657944</v>
      </c>
      <c r="E159">
        <v>1</v>
      </c>
      <c r="F159">
        <v>1</v>
      </c>
      <c r="G159">
        <v>1</v>
      </c>
      <c r="H159">
        <v>3</v>
      </c>
      <c r="I159" t="s">
        <v>245</v>
      </c>
      <c r="J159" t="s">
        <v>247</v>
      </c>
      <c r="K159" t="s">
        <v>246</v>
      </c>
      <c r="L159">
        <v>1327</v>
      </c>
      <c r="N159">
        <v>1005</v>
      </c>
      <c r="O159" t="s">
        <v>165</v>
      </c>
      <c r="P159" t="s">
        <v>165</v>
      </c>
      <c r="Q159">
        <v>1</v>
      </c>
      <c r="W159">
        <v>0</v>
      </c>
      <c r="X159">
        <v>-289686462</v>
      </c>
      <c r="Y159">
        <v>105</v>
      </c>
      <c r="AA159">
        <v>957.87</v>
      </c>
      <c r="AB159">
        <v>0</v>
      </c>
      <c r="AC159">
        <v>0</v>
      </c>
      <c r="AD159">
        <v>0</v>
      </c>
      <c r="AE159">
        <v>140.45</v>
      </c>
      <c r="AF159">
        <v>0</v>
      </c>
      <c r="AG159">
        <v>0</v>
      </c>
      <c r="AH159">
        <v>0</v>
      </c>
      <c r="AI159">
        <v>6.82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T159">
        <v>105</v>
      </c>
      <c r="AV159">
        <v>0</v>
      </c>
      <c r="AW159">
        <v>1</v>
      </c>
      <c r="AX159">
        <v>-1</v>
      </c>
      <c r="AY159">
        <v>0</v>
      </c>
      <c r="AZ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Y159*Source!I119</f>
        <v>23.1</v>
      </c>
      <c r="CY159">
        <f t="shared" si="20"/>
        <v>957.87</v>
      </c>
      <c r="CZ159">
        <f t="shared" si="21"/>
        <v>140.45</v>
      </c>
      <c r="DA159">
        <f t="shared" si="22"/>
        <v>6.82</v>
      </c>
      <c r="DB159">
        <f t="shared" si="23"/>
        <v>14747.25</v>
      </c>
      <c r="DC159">
        <f t="shared" si="24"/>
        <v>0</v>
      </c>
    </row>
    <row r="160" spans="1:107" ht="12.75">
      <c r="A160">
        <f>ROW(Source!A119)</f>
        <v>119</v>
      </c>
      <c r="B160">
        <v>55463412</v>
      </c>
      <c r="C160">
        <v>55463849</v>
      </c>
      <c r="D160">
        <v>53666529</v>
      </c>
      <c r="E160">
        <v>1</v>
      </c>
      <c r="F160">
        <v>1</v>
      </c>
      <c r="G160">
        <v>1</v>
      </c>
      <c r="H160">
        <v>3</v>
      </c>
      <c r="I160" t="s">
        <v>249</v>
      </c>
      <c r="J160" t="s">
        <v>251</v>
      </c>
      <c r="K160" t="s">
        <v>250</v>
      </c>
      <c r="L160">
        <v>1339</v>
      </c>
      <c r="N160">
        <v>1007</v>
      </c>
      <c r="O160" t="s">
        <v>160</v>
      </c>
      <c r="P160" t="s">
        <v>160</v>
      </c>
      <c r="Q160">
        <v>1</v>
      </c>
      <c r="W160">
        <v>0</v>
      </c>
      <c r="X160">
        <v>541221097</v>
      </c>
      <c r="Y160">
        <v>0.01</v>
      </c>
      <c r="AA160">
        <v>446778</v>
      </c>
      <c r="AB160">
        <v>0</v>
      </c>
      <c r="AC160">
        <v>0</v>
      </c>
      <c r="AD160">
        <v>0</v>
      </c>
      <c r="AE160">
        <v>65509.97</v>
      </c>
      <c r="AF160">
        <v>0</v>
      </c>
      <c r="AG160">
        <v>0</v>
      </c>
      <c r="AH160">
        <v>0</v>
      </c>
      <c r="AI160">
        <v>6.82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T160">
        <v>0.01</v>
      </c>
      <c r="AV160">
        <v>0</v>
      </c>
      <c r="AW160">
        <v>1</v>
      </c>
      <c r="AX160">
        <v>-1</v>
      </c>
      <c r="AY160">
        <v>0</v>
      </c>
      <c r="AZ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Y160*Source!I119</f>
        <v>0.0022</v>
      </c>
      <c r="CY160">
        <f t="shared" si="20"/>
        <v>446778</v>
      </c>
      <c r="CZ160">
        <f t="shared" si="21"/>
        <v>65509.97</v>
      </c>
      <c r="DA160">
        <f t="shared" si="22"/>
        <v>6.82</v>
      </c>
      <c r="DB160">
        <f t="shared" si="23"/>
        <v>655.1</v>
      </c>
      <c r="DC160">
        <f t="shared" si="24"/>
        <v>0</v>
      </c>
    </row>
    <row r="161" spans="1:107" ht="12.75">
      <c r="A161">
        <f>ROW(Source!A119)</f>
        <v>119</v>
      </c>
      <c r="B161">
        <v>55463412</v>
      </c>
      <c r="C161">
        <v>55463849</v>
      </c>
      <c r="D161">
        <v>53672889</v>
      </c>
      <c r="E161">
        <v>1</v>
      </c>
      <c r="F161">
        <v>1</v>
      </c>
      <c r="G161">
        <v>1</v>
      </c>
      <c r="H161">
        <v>3</v>
      </c>
      <c r="I161" t="s">
        <v>253</v>
      </c>
      <c r="J161" t="s">
        <v>255</v>
      </c>
      <c r="K161" t="s">
        <v>254</v>
      </c>
      <c r="L161">
        <v>1348</v>
      </c>
      <c r="N161">
        <v>1009</v>
      </c>
      <c r="O161" t="s">
        <v>36</v>
      </c>
      <c r="P161" t="s">
        <v>36</v>
      </c>
      <c r="Q161">
        <v>1000</v>
      </c>
      <c r="W161">
        <v>0</v>
      </c>
      <c r="X161">
        <v>1025007605</v>
      </c>
      <c r="Y161">
        <v>1.2</v>
      </c>
      <c r="AA161">
        <v>19910.51</v>
      </c>
      <c r="AB161">
        <v>0</v>
      </c>
      <c r="AC161">
        <v>0</v>
      </c>
      <c r="AD161">
        <v>0</v>
      </c>
      <c r="AE161">
        <v>2919.43</v>
      </c>
      <c r="AF161">
        <v>0</v>
      </c>
      <c r="AG161">
        <v>0</v>
      </c>
      <c r="AH161">
        <v>0</v>
      </c>
      <c r="AI161">
        <v>6.82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T161">
        <v>1.2</v>
      </c>
      <c r="AV161">
        <v>0</v>
      </c>
      <c r="AW161">
        <v>1</v>
      </c>
      <c r="AX161">
        <v>-1</v>
      </c>
      <c r="AY161">
        <v>0</v>
      </c>
      <c r="AZ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Y161*Source!I119</f>
        <v>0.264</v>
      </c>
      <c r="CY161">
        <f t="shared" si="20"/>
        <v>19910.51</v>
      </c>
      <c r="CZ161">
        <f t="shared" si="21"/>
        <v>2919.43</v>
      </c>
      <c r="DA161">
        <f t="shared" si="22"/>
        <v>6.82</v>
      </c>
      <c r="DB161">
        <f t="shared" si="23"/>
        <v>3503.32</v>
      </c>
      <c r="DC161">
        <f t="shared" si="24"/>
        <v>0</v>
      </c>
    </row>
    <row r="162" spans="1:107" ht="12.75">
      <c r="A162">
        <f>ROW(Source!A119)</f>
        <v>119</v>
      </c>
      <c r="B162">
        <v>55463412</v>
      </c>
      <c r="C162">
        <v>55463849</v>
      </c>
      <c r="D162">
        <v>53673681</v>
      </c>
      <c r="E162">
        <v>1</v>
      </c>
      <c r="F162">
        <v>1</v>
      </c>
      <c r="G162">
        <v>1</v>
      </c>
      <c r="H162">
        <v>3</v>
      </c>
      <c r="I162" t="s">
        <v>257</v>
      </c>
      <c r="J162" t="s">
        <v>259</v>
      </c>
      <c r="K162" t="s">
        <v>258</v>
      </c>
      <c r="L162">
        <v>1346</v>
      </c>
      <c r="N162">
        <v>1009</v>
      </c>
      <c r="O162" t="s">
        <v>194</v>
      </c>
      <c r="P162" t="s">
        <v>194</v>
      </c>
      <c r="Q162">
        <v>1</v>
      </c>
      <c r="W162">
        <v>0</v>
      </c>
      <c r="X162">
        <v>-1209026283</v>
      </c>
      <c r="Y162">
        <v>20.454545</v>
      </c>
      <c r="AA162">
        <v>89.21</v>
      </c>
      <c r="AB162">
        <v>0</v>
      </c>
      <c r="AC162">
        <v>0</v>
      </c>
      <c r="AD162">
        <v>0</v>
      </c>
      <c r="AE162">
        <v>13.08</v>
      </c>
      <c r="AF162">
        <v>0</v>
      </c>
      <c r="AG162">
        <v>0</v>
      </c>
      <c r="AH162">
        <v>0</v>
      </c>
      <c r="AI162">
        <v>6.82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T162">
        <v>20.454545</v>
      </c>
      <c r="AV162">
        <v>0</v>
      </c>
      <c r="AW162">
        <v>1</v>
      </c>
      <c r="AX162">
        <v>-1</v>
      </c>
      <c r="AY162">
        <v>0</v>
      </c>
      <c r="AZ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Y162*Source!I119</f>
        <v>4.4999999</v>
      </c>
      <c r="CY162">
        <f t="shared" si="20"/>
        <v>89.21</v>
      </c>
      <c r="CZ162">
        <f t="shared" si="21"/>
        <v>13.08</v>
      </c>
      <c r="DA162">
        <f t="shared" si="22"/>
        <v>6.82</v>
      </c>
      <c r="DB162">
        <f t="shared" si="23"/>
        <v>267.55</v>
      </c>
      <c r="DC162">
        <f t="shared" si="24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16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55463653</v>
      </c>
      <c r="C1">
        <v>55463648</v>
      </c>
      <c r="D1">
        <v>53630067</v>
      </c>
      <c r="E1">
        <v>70</v>
      </c>
      <c r="F1">
        <v>1</v>
      </c>
      <c r="G1">
        <v>1</v>
      </c>
      <c r="H1">
        <v>1</v>
      </c>
      <c r="I1" t="s">
        <v>355</v>
      </c>
      <c r="K1" t="s">
        <v>356</v>
      </c>
      <c r="L1">
        <v>1191</v>
      </c>
      <c r="N1">
        <v>1013</v>
      </c>
      <c r="O1" t="s">
        <v>357</v>
      </c>
      <c r="P1" t="s">
        <v>357</v>
      </c>
      <c r="Q1">
        <v>1</v>
      </c>
      <c r="X1">
        <v>69.87</v>
      </c>
      <c r="Y1">
        <v>0</v>
      </c>
      <c r="Z1">
        <v>0</v>
      </c>
      <c r="AA1">
        <v>0</v>
      </c>
      <c r="AB1">
        <v>8.53</v>
      </c>
      <c r="AC1">
        <v>0</v>
      </c>
      <c r="AD1">
        <v>1</v>
      </c>
      <c r="AE1">
        <v>1</v>
      </c>
      <c r="AG1">
        <v>69.87</v>
      </c>
      <c r="AH1">
        <v>2</v>
      </c>
      <c r="AI1">
        <v>55463649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55463654</v>
      </c>
      <c r="C2">
        <v>55463648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358</v>
      </c>
      <c r="K2" t="s">
        <v>359</v>
      </c>
      <c r="L2">
        <v>1191</v>
      </c>
      <c r="N2">
        <v>1013</v>
      </c>
      <c r="O2" t="s">
        <v>357</v>
      </c>
      <c r="P2" t="s">
        <v>357</v>
      </c>
      <c r="Q2">
        <v>1</v>
      </c>
      <c r="X2">
        <v>1.44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1.44</v>
      </c>
      <c r="AH2">
        <v>2</v>
      </c>
      <c r="AI2">
        <v>55463650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55463655</v>
      </c>
      <c r="C3">
        <v>55463648</v>
      </c>
      <c r="D3">
        <v>53792191</v>
      </c>
      <c r="E3">
        <v>1</v>
      </c>
      <c r="F3">
        <v>1</v>
      </c>
      <c r="G3">
        <v>1</v>
      </c>
      <c r="H3">
        <v>2</v>
      </c>
      <c r="I3" t="s">
        <v>360</v>
      </c>
      <c r="J3" t="s">
        <v>361</v>
      </c>
      <c r="K3" t="s">
        <v>362</v>
      </c>
      <c r="L3">
        <v>1367</v>
      </c>
      <c r="N3">
        <v>1011</v>
      </c>
      <c r="O3" t="s">
        <v>363</v>
      </c>
      <c r="P3" t="s">
        <v>363</v>
      </c>
      <c r="Q3">
        <v>1</v>
      </c>
      <c r="X3">
        <v>1.44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G3">
        <v>1.44</v>
      </c>
      <c r="AH3">
        <v>2</v>
      </c>
      <c r="AI3">
        <v>55463651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55463656</v>
      </c>
      <c r="C4">
        <v>55463648</v>
      </c>
      <c r="D4">
        <v>53634988</v>
      </c>
      <c r="E4">
        <v>70</v>
      </c>
      <c r="F4">
        <v>1</v>
      </c>
      <c r="G4">
        <v>1</v>
      </c>
      <c r="H4">
        <v>3</v>
      </c>
      <c r="I4" t="s">
        <v>34</v>
      </c>
      <c r="K4" t="s">
        <v>35</v>
      </c>
      <c r="L4">
        <v>1348</v>
      </c>
      <c r="N4">
        <v>1009</v>
      </c>
      <c r="O4" t="s">
        <v>36</v>
      </c>
      <c r="P4" t="s">
        <v>36</v>
      </c>
      <c r="Q4">
        <v>1000</v>
      </c>
      <c r="X4">
        <v>5.2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5.2</v>
      </c>
      <c r="AH4">
        <v>2</v>
      </c>
      <c r="AI4">
        <v>55463652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55463653</v>
      </c>
      <c r="C5">
        <v>55463648</v>
      </c>
      <c r="D5">
        <v>53630067</v>
      </c>
      <c r="E5">
        <v>70</v>
      </c>
      <c r="F5">
        <v>1</v>
      </c>
      <c r="G5">
        <v>1</v>
      </c>
      <c r="H5">
        <v>1</v>
      </c>
      <c r="I5" t="s">
        <v>355</v>
      </c>
      <c r="K5" t="s">
        <v>356</v>
      </c>
      <c r="L5">
        <v>1191</v>
      </c>
      <c r="N5">
        <v>1013</v>
      </c>
      <c r="O5" t="s">
        <v>357</v>
      </c>
      <c r="P5" t="s">
        <v>357</v>
      </c>
      <c r="Q5">
        <v>1</v>
      </c>
      <c r="X5">
        <v>69.87</v>
      </c>
      <c r="Y5">
        <v>0</v>
      </c>
      <c r="Z5">
        <v>0</v>
      </c>
      <c r="AA5">
        <v>0</v>
      </c>
      <c r="AB5">
        <v>8.53</v>
      </c>
      <c r="AC5">
        <v>0</v>
      </c>
      <c r="AD5">
        <v>1</v>
      </c>
      <c r="AE5">
        <v>1</v>
      </c>
      <c r="AG5">
        <v>69.87</v>
      </c>
      <c r="AH5">
        <v>2</v>
      </c>
      <c r="AI5">
        <v>55463649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55463654</v>
      </c>
      <c r="C6">
        <v>55463648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358</v>
      </c>
      <c r="K6" t="s">
        <v>359</v>
      </c>
      <c r="L6">
        <v>1191</v>
      </c>
      <c r="N6">
        <v>1013</v>
      </c>
      <c r="O6" t="s">
        <v>357</v>
      </c>
      <c r="P6" t="s">
        <v>357</v>
      </c>
      <c r="Q6">
        <v>1</v>
      </c>
      <c r="X6">
        <v>1.44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1.44</v>
      </c>
      <c r="AH6">
        <v>2</v>
      </c>
      <c r="AI6">
        <v>55463650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55463655</v>
      </c>
      <c r="C7">
        <v>55463648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360</v>
      </c>
      <c r="J7" t="s">
        <v>361</v>
      </c>
      <c r="K7" t="s">
        <v>362</v>
      </c>
      <c r="L7">
        <v>1367</v>
      </c>
      <c r="N7">
        <v>1011</v>
      </c>
      <c r="O7" t="s">
        <v>363</v>
      </c>
      <c r="P7" t="s">
        <v>363</v>
      </c>
      <c r="Q7">
        <v>1</v>
      </c>
      <c r="X7">
        <v>1.44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G7">
        <v>1.44</v>
      </c>
      <c r="AH7">
        <v>2</v>
      </c>
      <c r="AI7">
        <v>55463651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55463656</v>
      </c>
      <c r="C8">
        <v>55463648</v>
      </c>
      <c r="D8">
        <v>53634988</v>
      </c>
      <c r="E8">
        <v>70</v>
      </c>
      <c r="F8">
        <v>1</v>
      </c>
      <c r="G8">
        <v>1</v>
      </c>
      <c r="H8">
        <v>3</v>
      </c>
      <c r="I8" t="s">
        <v>34</v>
      </c>
      <c r="K8" t="s">
        <v>35</v>
      </c>
      <c r="L8">
        <v>1348</v>
      </c>
      <c r="N8">
        <v>1009</v>
      </c>
      <c r="O8" t="s">
        <v>36</v>
      </c>
      <c r="P8" t="s">
        <v>36</v>
      </c>
      <c r="Q8">
        <v>1000</v>
      </c>
      <c r="X8">
        <v>5.2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5.2</v>
      </c>
      <c r="AH8">
        <v>2</v>
      </c>
      <c r="AI8">
        <v>55463652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55463660</v>
      </c>
      <c r="C9">
        <v>55463658</v>
      </c>
      <c r="D9">
        <v>44800206</v>
      </c>
      <c r="E9">
        <v>54</v>
      </c>
      <c r="F9">
        <v>1</v>
      </c>
      <c r="G9">
        <v>1</v>
      </c>
      <c r="H9">
        <v>1</v>
      </c>
      <c r="I9" t="s">
        <v>364</v>
      </c>
      <c r="K9" t="s">
        <v>365</v>
      </c>
      <c r="L9">
        <v>1191</v>
      </c>
      <c r="N9">
        <v>1013</v>
      </c>
      <c r="O9" t="s">
        <v>357</v>
      </c>
      <c r="P9" t="s">
        <v>357</v>
      </c>
      <c r="Q9">
        <v>1</v>
      </c>
      <c r="X9">
        <v>18.68</v>
      </c>
      <c r="Y9">
        <v>0</v>
      </c>
      <c r="Z9">
        <v>0</v>
      </c>
      <c r="AA9">
        <v>0</v>
      </c>
      <c r="AB9">
        <v>7.62</v>
      </c>
      <c r="AC9">
        <v>0</v>
      </c>
      <c r="AD9">
        <v>1</v>
      </c>
      <c r="AE9">
        <v>1</v>
      </c>
      <c r="AG9">
        <v>18.68</v>
      </c>
      <c r="AH9">
        <v>2</v>
      </c>
      <c r="AI9">
        <v>55463659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ROW(Source!A33)</f>
        <v>33</v>
      </c>
      <c r="B10">
        <v>55463660</v>
      </c>
      <c r="C10">
        <v>55463658</v>
      </c>
      <c r="D10">
        <v>44800206</v>
      </c>
      <c r="E10">
        <v>54</v>
      </c>
      <c r="F10">
        <v>1</v>
      </c>
      <c r="G10">
        <v>1</v>
      </c>
      <c r="H10">
        <v>1</v>
      </c>
      <c r="I10" t="s">
        <v>364</v>
      </c>
      <c r="K10" t="s">
        <v>365</v>
      </c>
      <c r="L10">
        <v>1191</v>
      </c>
      <c r="N10">
        <v>1013</v>
      </c>
      <c r="O10" t="s">
        <v>357</v>
      </c>
      <c r="P10" t="s">
        <v>357</v>
      </c>
      <c r="Q10">
        <v>1</v>
      </c>
      <c r="X10">
        <v>18.68</v>
      </c>
      <c r="Y10">
        <v>0</v>
      </c>
      <c r="Z10">
        <v>0</v>
      </c>
      <c r="AA10">
        <v>0</v>
      </c>
      <c r="AB10">
        <v>7.62</v>
      </c>
      <c r="AC10">
        <v>0</v>
      </c>
      <c r="AD10">
        <v>1</v>
      </c>
      <c r="AE10">
        <v>1</v>
      </c>
      <c r="AG10">
        <v>18.68</v>
      </c>
      <c r="AH10">
        <v>2</v>
      </c>
      <c r="AI10">
        <v>55463659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ROW(Source!A34)</f>
        <v>34</v>
      </c>
      <c r="B11">
        <v>55463667</v>
      </c>
      <c r="C11">
        <v>55463661</v>
      </c>
      <c r="D11">
        <v>44800233</v>
      </c>
      <c r="E11">
        <v>54</v>
      </c>
      <c r="F11">
        <v>1</v>
      </c>
      <c r="G11">
        <v>1</v>
      </c>
      <c r="H11">
        <v>1</v>
      </c>
      <c r="I11" t="s">
        <v>366</v>
      </c>
      <c r="K11" t="s">
        <v>367</v>
      </c>
      <c r="L11">
        <v>1191</v>
      </c>
      <c r="N11">
        <v>1013</v>
      </c>
      <c r="O11" t="s">
        <v>357</v>
      </c>
      <c r="P11" t="s">
        <v>357</v>
      </c>
      <c r="Q11">
        <v>1</v>
      </c>
      <c r="X11">
        <v>49.5</v>
      </c>
      <c r="Y11">
        <v>0</v>
      </c>
      <c r="Z11">
        <v>0</v>
      </c>
      <c r="AA11">
        <v>0</v>
      </c>
      <c r="AB11">
        <v>8.09</v>
      </c>
      <c r="AC11">
        <v>0</v>
      </c>
      <c r="AD11">
        <v>1</v>
      </c>
      <c r="AE11">
        <v>1</v>
      </c>
      <c r="AG11">
        <v>49.5</v>
      </c>
      <c r="AH11">
        <v>2</v>
      </c>
      <c r="AI11">
        <v>55463662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ROW(Source!A34)</f>
        <v>34</v>
      </c>
      <c r="B12">
        <v>55463668</v>
      </c>
      <c r="C12">
        <v>55463661</v>
      </c>
      <c r="D12">
        <v>44800452</v>
      </c>
      <c r="E12">
        <v>54</v>
      </c>
      <c r="F12">
        <v>1</v>
      </c>
      <c r="G12">
        <v>1</v>
      </c>
      <c r="H12">
        <v>1</v>
      </c>
      <c r="I12" t="s">
        <v>358</v>
      </c>
      <c r="K12" t="s">
        <v>359</v>
      </c>
      <c r="L12">
        <v>1191</v>
      </c>
      <c r="N12">
        <v>1013</v>
      </c>
      <c r="O12" t="s">
        <v>357</v>
      </c>
      <c r="P12" t="s">
        <v>357</v>
      </c>
      <c r="Q12">
        <v>1</v>
      </c>
      <c r="X12">
        <v>10.73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G12">
        <v>10.73</v>
      </c>
      <c r="AH12">
        <v>2</v>
      </c>
      <c r="AI12">
        <v>55463663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ROW(Source!A34)</f>
        <v>34</v>
      </c>
      <c r="B13">
        <v>55463669</v>
      </c>
      <c r="C13">
        <v>55463661</v>
      </c>
      <c r="D13">
        <v>44975597</v>
      </c>
      <c r="E13">
        <v>1</v>
      </c>
      <c r="F13">
        <v>1</v>
      </c>
      <c r="G13">
        <v>1</v>
      </c>
      <c r="H13">
        <v>2</v>
      </c>
      <c r="I13" t="s">
        <v>368</v>
      </c>
      <c r="J13" t="s">
        <v>369</v>
      </c>
      <c r="K13" t="s">
        <v>370</v>
      </c>
      <c r="L13">
        <v>1368</v>
      </c>
      <c r="N13">
        <v>1011</v>
      </c>
      <c r="O13" t="s">
        <v>371</v>
      </c>
      <c r="P13" t="s">
        <v>371</v>
      </c>
      <c r="Q13">
        <v>1</v>
      </c>
      <c r="X13">
        <v>2.87</v>
      </c>
      <c r="Y13">
        <v>0</v>
      </c>
      <c r="Z13">
        <v>79.07</v>
      </c>
      <c r="AA13">
        <v>13.5</v>
      </c>
      <c r="AB13">
        <v>0</v>
      </c>
      <c r="AC13">
        <v>0</v>
      </c>
      <c r="AD13">
        <v>1</v>
      </c>
      <c r="AE13">
        <v>0</v>
      </c>
      <c r="AG13">
        <v>2.87</v>
      </c>
      <c r="AH13">
        <v>2</v>
      </c>
      <c r="AI13">
        <v>55463664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55463670</v>
      </c>
      <c r="C14">
        <v>55463661</v>
      </c>
      <c r="D14">
        <v>44975663</v>
      </c>
      <c r="E14">
        <v>1</v>
      </c>
      <c r="F14">
        <v>1</v>
      </c>
      <c r="G14">
        <v>1</v>
      </c>
      <c r="H14">
        <v>2</v>
      </c>
      <c r="I14" t="s">
        <v>372</v>
      </c>
      <c r="J14" t="s">
        <v>373</v>
      </c>
      <c r="K14" t="s">
        <v>374</v>
      </c>
      <c r="L14">
        <v>1368</v>
      </c>
      <c r="N14">
        <v>1011</v>
      </c>
      <c r="O14" t="s">
        <v>371</v>
      </c>
      <c r="P14" t="s">
        <v>371</v>
      </c>
      <c r="Q14">
        <v>1</v>
      </c>
      <c r="X14">
        <v>7.86</v>
      </c>
      <c r="Y14">
        <v>0</v>
      </c>
      <c r="Z14">
        <v>115.27</v>
      </c>
      <c r="AA14">
        <v>13.5</v>
      </c>
      <c r="AB14">
        <v>0</v>
      </c>
      <c r="AC14">
        <v>0</v>
      </c>
      <c r="AD14">
        <v>1</v>
      </c>
      <c r="AE14">
        <v>0</v>
      </c>
      <c r="AG14">
        <v>7.86</v>
      </c>
      <c r="AH14">
        <v>2</v>
      </c>
      <c r="AI14">
        <v>55463665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55463671</v>
      </c>
      <c r="C15">
        <v>55463661</v>
      </c>
      <c r="D15">
        <v>44977174</v>
      </c>
      <c r="E15">
        <v>1</v>
      </c>
      <c r="F15">
        <v>1</v>
      </c>
      <c r="G15">
        <v>1</v>
      </c>
      <c r="H15">
        <v>2</v>
      </c>
      <c r="I15" t="s">
        <v>375</v>
      </c>
      <c r="J15" t="s">
        <v>376</v>
      </c>
      <c r="K15" t="s">
        <v>377</v>
      </c>
      <c r="L15">
        <v>1368</v>
      </c>
      <c r="N15">
        <v>1011</v>
      </c>
      <c r="O15" t="s">
        <v>371</v>
      </c>
      <c r="P15" t="s">
        <v>371</v>
      </c>
      <c r="Q15">
        <v>1</v>
      </c>
      <c r="X15">
        <v>1.98</v>
      </c>
      <c r="Y15">
        <v>0</v>
      </c>
      <c r="Z15">
        <v>8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1.98</v>
      </c>
      <c r="AH15">
        <v>2</v>
      </c>
      <c r="AI15">
        <v>55463666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ROW(Source!A35)</f>
        <v>35</v>
      </c>
      <c r="B16">
        <v>55463667</v>
      </c>
      <c r="C16">
        <v>55463661</v>
      </c>
      <c r="D16">
        <v>44800233</v>
      </c>
      <c r="E16">
        <v>54</v>
      </c>
      <c r="F16">
        <v>1</v>
      </c>
      <c r="G16">
        <v>1</v>
      </c>
      <c r="H16">
        <v>1</v>
      </c>
      <c r="I16" t="s">
        <v>366</v>
      </c>
      <c r="K16" t="s">
        <v>367</v>
      </c>
      <c r="L16">
        <v>1191</v>
      </c>
      <c r="N16">
        <v>1013</v>
      </c>
      <c r="O16" t="s">
        <v>357</v>
      </c>
      <c r="P16" t="s">
        <v>357</v>
      </c>
      <c r="Q16">
        <v>1</v>
      </c>
      <c r="X16">
        <v>49.5</v>
      </c>
      <c r="Y16">
        <v>0</v>
      </c>
      <c r="Z16">
        <v>0</v>
      </c>
      <c r="AA16">
        <v>0</v>
      </c>
      <c r="AB16">
        <v>8.09</v>
      </c>
      <c r="AC16">
        <v>0</v>
      </c>
      <c r="AD16">
        <v>1</v>
      </c>
      <c r="AE16">
        <v>1</v>
      </c>
      <c r="AG16">
        <v>49.5</v>
      </c>
      <c r="AH16">
        <v>2</v>
      </c>
      <c r="AI16">
        <v>55463662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ROW(Source!A35)</f>
        <v>35</v>
      </c>
      <c r="B17">
        <v>55463668</v>
      </c>
      <c r="C17">
        <v>55463661</v>
      </c>
      <c r="D17">
        <v>44800452</v>
      </c>
      <c r="E17">
        <v>54</v>
      </c>
      <c r="F17">
        <v>1</v>
      </c>
      <c r="G17">
        <v>1</v>
      </c>
      <c r="H17">
        <v>1</v>
      </c>
      <c r="I17" t="s">
        <v>358</v>
      </c>
      <c r="K17" t="s">
        <v>359</v>
      </c>
      <c r="L17">
        <v>1191</v>
      </c>
      <c r="N17">
        <v>1013</v>
      </c>
      <c r="O17" t="s">
        <v>357</v>
      </c>
      <c r="P17" t="s">
        <v>357</v>
      </c>
      <c r="Q17">
        <v>1</v>
      </c>
      <c r="X17">
        <v>10.73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G17">
        <v>10.73</v>
      </c>
      <c r="AH17">
        <v>2</v>
      </c>
      <c r="AI17">
        <v>55463663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ROW(Source!A35)</f>
        <v>35</v>
      </c>
      <c r="B18">
        <v>55463669</v>
      </c>
      <c r="C18">
        <v>55463661</v>
      </c>
      <c r="D18">
        <v>44975597</v>
      </c>
      <c r="E18">
        <v>1</v>
      </c>
      <c r="F18">
        <v>1</v>
      </c>
      <c r="G18">
        <v>1</v>
      </c>
      <c r="H18">
        <v>2</v>
      </c>
      <c r="I18" t="s">
        <v>368</v>
      </c>
      <c r="J18" t="s">
        <v>369</v>
      </c>
      <c r="K18" t="s">
        <v>370</v>
      </c>
      <c r="L18">
        <v>1368</v>
      </c>
      <c r="N18">
        <v>1011</v>
      </c>
      <c r="O18" t="s">
        <v>371</v>
      </c>
      <c r="P18" t="s">
        <v>371</v>
      </c>
      <c r="Q18">
        <v>1</v>
      </c>
      <c r="X18">
        <v>2.87</v>
      </c>
      <c r="Y18">
        <v>0</v>
      </c>
      <c r="Z18">
        <v>79.07</v>
      </c>
      <c r="AA18">
        <v>13.5</v>
      </c>
      <c r="AB18">
        <v>0</v>
      </c>
      <c r="AC18">
        <v>0</v>
      </c>
      <c r="AD18">
        <v>1</v>
      </c>
      <c r="AE18">
        <v>0</v>
      </c>
      <c r="AG18">
        <v>2.87</v>
      </c>
      <c r="AH18">
        <v>2</v>
      </c>
      <c r="AI18">
        <v>55463664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ROW(Source!A35)</f>
        <v>35</v>
      </c>
      <c r="B19">
        <v>55463670</v>
      </c>
      <c r="C19">
        <v>55463661</v>
      </c>
      <c r="D19">
        <v>44975663</v>
      </c>
      <c r="E19">
        <v>1</v>
      </c>
      <c r="F19">
        <v>1</v>
      </c>
      <c r="G19">
        <v>1</v>
      </c>
      <c r="H19">
        <v>2</v>
      </c>
      <c r="I19" t="s">
        <v>372</v>
      </c>
      <c r="J19" t="s">
        <v>373</v>
      </c>
      <c r="K19" t="s">
        <v>374</v>
      </c>
      <c r="L19">
        <v>1368</v>
      </c>
      <c r="N19">
        <v>1011</v>
      </c>
      <c r="O19" t="s">
        <v>371</v>
      </c>
      <c r="P19" t="s">
        <v>371</v>
      </c>
      <c r="Q19">
        <v>1</v>
      </c>
      <c r="X19">
        <v>7.86</v>
      </c>
      <c r="Y19">
        <v>0</v>
      </c>
      <c r="Z19">
        <v>115.27</v>
      </c>
      <c r="AA19">
        <v>13.5</v>
      </c>
      <c r="AB19">
        <v>0</v>
      </c>
      <c r="AC19">
        <v>0</v>
      </c>
      <c r="AD19">
        <v>1</v>
      </c>
      <c r="AE19">
        <v>0</v>
      </c>
      <c r="AG19">
        <v>7.86</v>
      </c>
      <c r="AH19">
        <v>2</v>
      </c>
      <c r="AI19">
        <v>55463665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ROW(Source!A35)</f>
        <v>35</v>
      </c>
      <c r="B20">
        <v>55463671</v>
      </c>
      <c r="C20">
        <v>55463661</v>
      </c>
      <c r="D20">
        <v>44977174</v>
      </c>
      <c r="E20">
        <v>1</v>
      </c>
      <c r="F20">
        <v>1</v>
      </c>
      <c r="G20">
        <v>1</v>
      </c>
      <c r="H20">
        <v>2</v>
      </c>
      <c r="I20" t="s">
        <v>375</v>
      </c>
      <c r="J20" t="s">
        <v>376</v>
      </c>
      <c r="K20" t="s">
        <v>377</v>
      </c>
      <c r="L20">
        <v>1368</v>
      </c>
      <c r="N20">
        <v>1011</v>
      </c>
      <c r="O20" t="s">
        <v>371</v>
      </c>
      <c r="P20" t="s">
        <v>371</v>
      </c>
      <c r="Q20">
        <v>1</v>
      </c>
      <c r="X20">
        <v>1.98</v>
      </c>
      <c r="Y20">
        <v>0</v>
      </c>
      <c r="Z20">
        <v>8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1.98</v>
      </c>
      <c r="AH20">
        <v>2</v>
      </c>
      <c r="AI20">
        <v>55463666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ROW(Source!A36)</f>
        <v>36</v>
      </c>
      <c r="B21">
        <v>55463674</v>
      </c>
      <c r="C21">
        <v>55463672</v>
      </c>
      <c r="D21">
        <v>53630045</v>
      </c>
      <c r="E21">
        <v>70</v>
      </c>
      <c r="F21">
        <v>1</v>
      </c>
      <c r="G21">
        <v>1</v>
      </c>
      <c r="H21">
        <v>1</v>
      </c>
      <c r="I21" t="s">
        <v>378</v>
      </c>
      <c r="K21" t="s">
        <v>379</v>
      </c>
      <c r="L21">
        <v>1191</v>
      </c>
      <c r="N21">
        <v>1013</v>
      </c>
      <c r="O21" t="s">
        <v>357</v>
      </c>
      <c r="P21" t="s">
        <v>357</v>
      </c>
      <c r="Q21">
        <v>1</v>
      </c>
      <c r="X21">
        <v>76.7</v>
      </c>
      <c r="Y21">
        <v>0</v>
      </c>
      <c r="Z21">
        <v>0</v>
      </c>
      <c r="AA21">
        <v>0</v>
      </c>
      <c r="AB21">
        <v>8.02</v>
      </c>
      <c r="AC21">
        <v>0</v>
      </c>
      <c r="AD21">
        <v>1</v>
      </c>
      <c r="AE21">
        <v>1</v>
      </c>
      <c r="AF21" t="s">
        <v>57</v>
      </c>
      <c r="AG21">
        <v>88.205</v>
      </c>
      <c r="AH21">
        <v>2</v>
      </c>
      <c r="AI21">
        <v>55463673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ROW(Source!A37)</f>
        <v>37</v>
      </c>
      <c r="B22">
        <v>55463674</v>
      </c>
      <c r="C22">
        <v>55463672</v>
      </c>
      <c r="D22">
        <v>53630045</v>
      </c>
      <c r="E22">
        <v>70</v>
      </c>
      <c r="F22">
        <v>1</v>
      </c>
      <c r="G22">
        <v>1</v>
      </c>
      <c r="H22">
        <v>1</v>
      </c>
      <c r="I22" t="s">
        <v>378</v>
      </c>
      <c r="K22" t="s">
        <v>379</v>
      </c>
      <c r="L22">
        <v>1191</v>
      </c>
      <c r="N22">
        <v>1013</v>
      </c>
      <c r="O22" t="s">
        <v>357</v>
      </c>
      <c r="P22" t="s">
        <v>357</v>
      </c>
      <c r="Q22">
        <v>1</v>
      </c>
      <c r="X22">
        <v>76.7</v>
      </c>
      <c r="Y22">
        <v>0</v>
      </c>
      <c r="Z22">
        <v>0</v>
      </c>
      <c r="AA22">
        <v>0</v>
      </c>
      <c r="AB22">
        <v>8.02</v>
      </c>
      <c r="AC22">
        <v>0</v>
      </c>
      <c r="AD22">
        <v>1</v>
      </c>
      <c r="AE22">
        <v>1</v>
      </c>
      <c r="AF22" t="s">
        <v>57</v>
      </c>
      <c r="AG22">
        <v>88.205</v>
      </c>
      <c r="AH22">
        <v>2</v>
      </c>
      <c r="AI22">
        <v>55463673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ROW(Source!A74)</f>
        <v>74</v>
      </c>
      <c r="B23">
        <v>55463677</v>
      </c>
      <c r="C23">
        <v>55463675</v>
      </c>
      <c r="D23">
        <v>53630033</v>
      </c>
      <c r="E23">
        <v>70</v>
      </c>
      <c r="F23">
        <v>1</v>
      </c>
      <c r="G23">
        <v>1</v>
      </c>
      <c r="H23">
        <v>1</v>
      </c>
      <c r="I23" t="s">
        <v>380</v>
      </c>
      <c r="K23" t="s">
        <v>381</v>
      </c>
      <c r="L23">
        <v>1191</v>
      </c>
      <c r="N23">
        <v>1013</v>
      </c>
      <c r="O23" t="s">
        <v>357</v>
      </c>
      <c r="P23" t="s">
        <v>357</v>
      </c>
      <c r="Q23">
        <v>1</v>
      </c>
      <c r="X23">
        <v>10.2</v>
      </c>
      <c r="Y23">
        <v>0</v>
      </c>
      <c r="Z23">
        <v>0</v>
      </c>
      <c r="AA23">
        <v>0</v>
      </c>
      <c r="AB23">
        <v>7.8</v>
      </c>
      <c r="AC23">
        <v>0</v>
      </c>
      <c r="AD23">
        <v>1</v>
      </c>
      <c r="AE23">
        <v>1</v>
      </c>
      <c r="AG23">
        <v>10.2</v>
      </c>
      <c r="AH23">
        <v>2</v>
      </c>
      <c r="AI23">
        <v>55463676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ROW(Source!A75)</f>
        <v>75</v>
      </c>
      <c r="B24">
        <v>55463677</v>
      </c>
      <c r="C24">
        <v>55463675</v>
      </c>
      <c r="D24">
        <v>53630033</v>
      </c>
      <c r="E24">
        <v>70</v>
      </c>
      <c r="F24">
        <v>1</v>
      </c>
      <c r="G24">
        <v>1</v>
      </c>
      <c r="H24">
        <v>1</v>
      </c>
      <c r="I24" t="s">
        <v>380</v>
      </c>
      <c r="K24" t="s">
        <v>381</v>
      </c>
      <c r="L24">
        <v>1191</v>
      </c>
      <c r="N24">
        <v>1013</v>
      </c>
      <c r="O24" t="s">
        <v>357</v>
      </c>
      <c r="P24" t="s">
        <v>357</v>
      </c>
      <c r="Q24">
        <v>1</v>
      </c>
      <c r="X24">
        <v>10.2</v>
      </c>
      <c r="Y24">
        <v>0</v>
      </c>
      <c r="Z24">
        <v>0</v>
      </c>
      <c r="AA24">
        <v>0</v>
      </c>
      <c r="AB24">
        <v>7.8</v>
      </c>
      <c r="AC24">
        <v>0</v>
      </c>
      <c r="AD24">
        <v>1</v>
      </c>
      <c r="AE24">
        <v>1</v>
      </c>
      <c r="AG24">
        <v>10.2</v>
      </c>
      <c r="AH24">
        <v>2</v>
      </c>
      <c r="AI24">
        <v>55463676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ROW(Source!A76)</f>
        <v>76</v>
      </c>
      <c r="B25">
        <v>55463683</v>
      </c>
      <c r="C25">
        <v>55463678</v>
      </c>
      <c r="D25">
        <v>53630067</v>
      </c>
      <c r="E25">
        <v>70</v>
      </c>
      <c r="F25">
        <v>1</v>
      </c>
      <c r="G25">
        <v>1</v>
      </c>
      <c r="H25">
        <v>1</v>
      </c>
      <c r="I25" t="s">
        <v>355</v>
      </c>
      <c r="K25" t="s">
        <v>356</v>
      </c>
      <c r="L25">
        <v>1191</v>
      </c>
      <c r="N25">
        <v>1013</v>
      </c>
      <c r="O25" t="s">
        <v>357</v>
      </c>
      <c r="P25" t="s">
        <v>357</v>
      </c>
      <c r="Q25">
        <v>1</v>
      </c>
      <c r="X25">
        <v>12.53</v>
      </c>
      <c r="Y25">
        <v>0</v>
      </c>
      <c r="Z25">
        <v>0</v>
      </c>
      <c r="AA25">
        <v>0</v>
      </c>
      <c r="AB25">
        <v>8.53</v>
      </c>
      <c r="AC25">
        <v>0</v>
      </c>
      <c r="AD25">
        <v>1</v>
      </c>
      <c r="AE25">
        <v>1</v>
      </c>
      <c r="AF25" t="s">
        <v>57</v>
      </c>
      <c r="AG25">
        <v>14.409499999999998</v>
      </c>
      <c r="AH25">
        <v>2</v>
      </c>
      <c r="AI25">
        <v>55463679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ROW(Source!A76)</f>
        <v>76</v>
      </c>
      <c r="B26">
        <v>55463684</v>
      </c>
      <c r="C26">
        <v>55463678</v>
      </c>
      <c r="D26">
        <v>53630257</v>
      </c>
      <c r="E26">
        <v>70</v>
      </c>
      <c r="F26">
        <v>1</v>
      </c>
      <c r="G26">
        <v>1</v>
      </c>
      <c r="H26">
        <v>1</v>
      </c>
      <c r="I26" t="s">
        <v>358</v>
      </c>
      <c r="K26" t="s">
        <v>359</v>
      </c>
      <c r="L26">
        <v>1191</v>
      </c>
      <c r="N26">
        <v>1013</v>
      </c>
      <c r="O26" t="s">
        <v>357</v>
      </c>
      <c r="P26" t="s">
        <v>357</v>
      </c>
      <c r="Q26">
        <v>1</v>
      </c>
      <c r="X26">
        <v>2.62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56</v>
      </c>
      <c r="AG26">
        <v>3.2750000000000004</v>
      </c>
      <c r="AH26">
        <v>2</v>
      </c>
      <c r="AI26">
        <v>55463680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ROW(Source!A76)</f>
        <v>76</v>
      </c>
      <c r="B27">
        <v>55463685</v>
      </c>
      <c r="C27">
        <v>55463678</v>
      </c>
      <c r="D27">
        <v>53792470</v>
      </c>
      <c r="E27">
        <v>1</v>
      </c>
      <c r="F27">
        <v>1</v>
      </c>
      <c r="G27">
        <v>1</v>
      </c>
      <c r="H27">
        <v>2</v>
      </c>
      <c r="I27" t="s">
        <v>382</v>
      </c>
      <c r="J27" t="s">
        <v>383</v>
      </c>
      <c r="K27" t="s">
        <v>384</v>
      </c>
      <c r="L27">
        <v>1367</v>
      </c>
      <c r="N27">
        <v>1011</v>
      </c>
      <c r="O27" t="s">
        <v>363</v>
      </c>
      <c r="P27" t="s">
        <v>363</v>
      </c>
      <c r="Q27">
        <v>1</v>
      </c>
      <c r="X27">
        <v>10.5</v>
      </c>
      <c r="Y27">
        <v>0</v>
      </c>
      <c r="Z27">
        <v>0.55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56</v>
      </c>
      <c r="AG27">
        <v>13.125</v>
      </c>
      <c r="AH27">
        <v>2</v>
      </c>
      <c r="AI27">
        <v>55463681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ROW(Source!A76)</f>
        <v>76</v>
      </c>
      <c r="B28">
        <v>55463686</v>
      </c>
      <c r="C28">
        <v>55463678</v>
      </c>
      <c r="D28">
        <v>53793153</v>
      </c>
      <c r="E28">
        <v>1</v>
      </c>
      <c r="F28">
        <v>1</v>
      </c>
      <c r="G28">
        <v>1</v>
      </c>
      <c r="H28">
        <v>2</v>
      </c>
      <c r="I28" t="s">
        <v>385</v>
      </c>
      <c r="J28" t="s">
        <v>386</v>
      </c>
      <c r="K28" t="s">
        <v>387</v>
      </c>
      <c r="L28">
        <v>1367</v>
      </c>
      <c r="N28">
        <v>1011</v>
      </c>
      <c r="O28" t="s">
        <v>363</v>
      </c>
      <c r="P28" t="s">
        <v>363</v>
      </c>
      <c r="Q28">
        <v>1</v>
      </c>
      <c r="X28">
        <v>2.62</v>
      </c>
      <c r="Y28">
        <v>0</v>
      </c>
      <c r="Z28">
        <v>90</v>
      </c>
      <c r="AA28">
        <v>10.06</v>
      </c>
      <c r="AB28">
        <v>0</v>
      </c>
      <c r="AC28">
        <v>0</v>
      </c>
      <c r="AD28">
        <v>1</v>
      </c>
      <c r="AE28">
        <v>0</v>
      </c>
      <c r="AF28" t="s">
        <v>56</v>
      </c>
      <c r="AG28">
        <v>3.2750000000000004</v>
      </c>
      <c r="AH28">
        <v>2</v>
      </c>
      <c r="AI28">
        <v>55463682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ROW(Source!A77)</f>
        <v>77</v>
      </c>
      <c r="B29">
        <v>55463683</v>
      </c>
      <c r="C29">
        <v>55463678</v>
      </c>
      <c r="D29">
        <v>53630067</v>
      </c>
      <c r="E29">
        <v>70</v>
      </c>
      <c r="F29">
        <v>1</v>
      </c>
      <c r="G29">
        <v>1</v>
      </c>
      <c r="H29">
        <v>1</v>
      </c>
      <c r="I29" t="s">
        <v>355</v>
      </c>
      <c r="K29" t="s">
        <v>356</v>
      </c>
      <c r="L29">
        <v>1191</v>
      </c>
      <c r="N29">
        <v>1013</v>
      </c>
      <c r="O29" t="s">
        <v>357</v>
      </c>
      <c r="P29" t="s">
        <v>357</v>
      </c>
      <c r="Q29">
        <v>1</v>
      </c>
      <c r="X29">
        <v>12.53</v>
      </c>
      <c r="Y29">
        <v>0</v>
      </c>
      <c r="Z29">
        <v>0</v>
      </c>
      <c r="AA29">
        <v>0</v>
      </c>
      <c r="AB29">
        <v>8.53</v>
      </c>
      <c r="AC29">
        <v>0</v>
      </c>
      <c r="AD29">
        <v>1</v>
      </c>
      <c r="AE29">
        <v>1</v>
      </c>
      <c r="AF29" t="s">
        <v>57</v>
      </c>
      <c r="AG29">
        <v>14.409499999999998</v>
      </c>
      <c r="AH29">
        <v>2</v>
      </c>
      <c r="AI29">
        <v>55463679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ROW(Source!A77)</f>
        <v>77</v>
      </c>
      <c r="B30">
        <v>55463684</v>
      </c>
      <c r="C30">
        <v>55463678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358</v>
      </c>
      <c r="K30" t="s">
        <v>359</v>
      </c>
      <c r="L30">
        <v>1191</v>
      </c>
      <c r="N30">
        <v>1013</v>
      </c>
      <c r="O30" t="s">
        <v>357</v>
      </c>
      <c r="P30" t="s">
        <v>357</v>
      </c>
      <c r="Q30">
        <v>1</v>
      </c>
      <c r="X30">
        <v>2.62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56</v>
      </c>
      <c r="AG30">
        <v>3.2750000000000004</v>
      </c>
      <c r="AH30">
        <v>2</v>
      </c>
      <c r="AI30">
        <v>55463680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ROW(Source!A77)</f>
        <v>77</v>
      </c>
      <c r="B31">
        <v>55463685</v>
      </c>
      <c r="C31">
        <v>55463678</v>
      </c>
      <c r="D31">
        <v>53792470</v>
      </c>
      <c r="E31">
        <v>1</v>
      </c>
      <c r="F31">
        <v>1</v>
      </c>
      <c r="G31">
        <v>1</v>
      </c>
      <c r="H31">
        <v>2</v>
      </c>
      <c r="I31" t="s">
        <v>382</v>
      </c>
      <c r="J31" t="s">
        <v>383</v>
      </c>
      <c r="K31" t="s">
        <v>384</v>
      </c>
      <c r="L31">
        <v>1367</v>
      </c>
      <c r="N31">
        <v>1011</v>
      </c>
      <c r="O31" t="s">
        <v>363</v>
      </c>
      <c r="P31" t="s">
        <v>363</v>
      </c>
      <c r="Q31">
        <v>1</v>
      </c>
      <c r="X31">
        <v>10.5</v>
      </c>
      <c r="Y31">
        <v>0</v>
      </c>
      <c r="Z31">
        <v>0.55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56</v>
      </c>
      <c r="AG31">
        <v>13.125</v>
      </c>
      <c r="AH31">
        <v>2</v>
      </c>
      <c r="AI31">
        <v>55463681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ROW(Source!A77)</f>
        <v>77</v>
      </c>
      <c r="B32">
        <v>55463686</v>
      </c>
      <c r="C32">
        <v>55463678</v>
      </c>
      <c r="D32">
        <v>53793153</v>
      </c>
      <c r="E32">
        <v>1</v>
      </c>
      <c r="F32">
        <v>1</v>
      </c>
      <c r="G32">
        <v>1</v>
      </c>
      <c r="H32">
        <v>2</v>
      </c>
      <c r="I32" t="s">
        <v>385</v>
      </c>
      <c r="J32" t="s">
        <v>386</v>
      </c>
      <c r="K32" t="s">
        <v>387</v>
      </c>
      <c r="L32">
        <v>1367</v>
      </c>
      <c r="N32">
        <v>1011</v>
      </c>
      <c r="O32" t="s">
        <v>363</v>
      </c>
      <c r="P32" t="s">
        <v>363</v>
      </c>
      <c r="Q32">
        <v>1</v>
      </c>
      <c r="X32">
        <v>2.62</v>
      </c>
      <c r="Y32">
        <v>0</v>
      </c>
      <c r="Z32">
        <v>90</v>
      </c>
      <c r="AA32">
        <v>10.06</v>
      </c>
      <c r="AB32">
        <v>0</v>
      </c>
      <c r="AC32">
        <v>0</v>
      </c>
      <c r="AD32">
        <v>1</v>
      </c>
      <c r="AE32">
        <v>0</v>
      </c>
      <c r="AF32" t="s">
        <v>56</v>
      </c>
      <c r="AG32">
        <v>3.2750000000000004</v>
      </c>
      <c r="AH32">
        <v>2</v>
      </c>
      <c r="AI32">
        <v>55463682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ROW(Source!A78)</f>
        <v>78</v>
      </c>
      <c r="B33">
        <v>55463703</v>
      </c>
      <c r="C33">
        <v>55463687</v>
      </c>
      <c r="D33">
        <v>53630125</v>
      </c>
      <c r="E33">
        <v>70</v>
      </c>
      <c r="F33">
        <v>1</v>
      </c>
      <c r="G33">
        <v>1</v>
      </c>
      <c r="H33">
        <v>1</v>
      </c>
      <c r="I33" t="s">
        <v>388</v>
      </c>
      <c r="K33" t="s">
        <v>389</v>
      </c>
      <c r="L33">
        <v>1191</v>
      </c>
      <c r="N33">
        <v>1013</v>
      </c>
      <c r="O33" t="s">
        <v>357</v>
      </c>
      <c r="P33" t="s">
        <v>357</v>
      </c>
      <c r="Q33">
        <v>1</v>
      </c>
      <c r="X33">
        <v>138</v>
      </c>
      <c r="Y33">
        <v>0</v>
      </c>
      <c r="Z33">
        <v>0</v>
      </c>
      <c r="AA33">
        <v>0</v>
      </c>
      <c r="AB33">
        <v>10.21</v>
      </c>
      <c r="AC33">
        <v>0</v>
      </c>
      <c r="AD33">
        <v>1</v>
      </c>
      <c r="AE33">
        <v>1</v>
      </c>
      <c r="AF33" t="s">
        <v>57</v>
      </c>
      <c r="AG33">
        <v>158.7</v>
      </c>
      <c r="AH33">
        <v>2</v>
      </c>
      <c r="AI33">
        <v>55463688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ROW(Source!A78)</f>
        <v>78</v>
      </c>
      <c r="B34">
        <v>55463704</v>
      </c>
      <c r="C34">
        <v>55463687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358</v>
      </c>
      <c r="K34" t="s">
        <v>359</v>
      </c>
      <c r="L34">
        <v>1191</v>
      </c>
      <c r="N34">
        <v>1013</v>
      </c>
      <c r="O34" t="s">
        <v>357</v>
      </c>
      <c r="P34" t="s">
        <v>357</v>
      </c>
      <c r="Q34">
        <v>1</v>
      </c>
      <c r="X34">
        <v>5.16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56</v>
      </c>
      <c r="AG34">
        <v>6.45</v>
      </c>
      <c r="AH34">
        <v>2</v>
      </c>
      <c r="AI34">
        <v>55463689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ROW(Source!A78)</f>
        <v>78</v>
      </c>
      <c r="B35">
        <v>55463705</v>
      </c>
      <c r="C35">
        <v>55463687</v>
      </c>
      <c r="D35">
        <v>53792191</v>
      </c>
      <c r="E35">
        <v>1</v>
      </c>
      <c r="F35">
        <v>1</v>
      </c>
      <c r="G35">
        <v>1</v>
      </c>
      <c r="H35">
        <v>2</v>
      </c>
      <c r="I35" t="s">
        <v>360</v>
      </c>
      <c r="J35" t="s">
        <v>361</v>
      </c>
      <c r="K35" t="s">
        <v>362</v>
      </c>
      <c r="L35">
        <v>1367</v>
      </c>
      <c r="N35">
        <v>1011</v>
      </c>
      <c r="O35" t="s">
        <v>363</v>
      </c>
      <c r="P35" t="s">
        <v>363</v>
      </c>
      <c r="Q35">
        <v>1</v>
      </c>
      <c r="X35">
        <v>0.11</v>
      </c>
      <c r="Y35">
        <v>0</v>
      </c>
      <c r="Z35">
        <v>31.26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56</v>
      </c>
      <c r="AG35">
        <v>0.1375</v>
      </c>
      <c r="AH35">
        <v>2</v>
      </c>
      <c r="AI35">
        <v>55463690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ROW(Source!A78)</f>
        <v>78</v>
      </c>
      <c r="B36">
        <v>55463706</v>
      </c>
      <c r="C36">
        <v>55463687</v>
      </c>
      <c r="D36">
        <v>53792927</v>
      </c>
      <c r="E36">
        <v>1</v>
      </c>
      <c r="F36">
        <v>1</v>
      </c>
      <c r="G36">
        <v>1</v>
      </c>
      <c r="H36">
        <v>2</v>
      </c>
      <c r="I36" t="s">
        <v>390</v>
      </c>
      <c r="J36" t="s">
        <v>391</v>
      </c>
      <c r="K36" t="s">
        <v>392</v>
      </c>
      <c r="L36">
        <v>1367</v>
      </c>
      <c r="N36">
        <v>1011</v>
      </c>
      <c r="O36" t="s">
        <v>363</v>
      </c>
      <c r="P36" t="s">
        <v>363</v>
      </c>
      <c r="Q36">
        <v>1</v>
      </c>
      <c r="X36">
        <v>0.25</v>
      </c>
      <c r="Y36">
        <v>0</v>
      </c>
      <c r="Z36">
        <v>65.71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56</v>
      </c>
      <c r="AG36">
        <v>0.3125</v>
      </c>
      <c r="AH36">
        <v>2</v>
      </c>
      <c r="AI36">
        <v>55463691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ROW(Source!A78)</f>
        <v>78</v>
      </c>
      <c r="B37">
        <v>55463707</v>
      </c>
      <c r="C37">
        <v>55463687</v>
      </c>
      <c r="D37">
        <v>53793767</v>
      </c>
      <c r="E37">
        <v>1</v>
      </c>
      <c r="F37">
        <v>1</v>
      </c>
      <c r="G37">
        <v>1</v>
      </c>
      <c r="H37">
        <v>2</v>
      </c>
      <c r="I37" t="s">
        <v>393</v>
      </c>
      <c r="J37" t="s">
        <v>394</v>
      </c>
      <c r="K37" t="s">
        <v>395</v>
      </c>
      <c r="L37">
        <v>1367</v>
      </c>
      <c r="N37">
        <v>1011</v>
      </c>
      <c r="O37" t="s">
        <v>363</v>
      </c>
      <c r="P37" t="s">
        <v>363</v>
      </c>
      <c r="Q37">
        <v>1</v>
      </c>
      <c r="X37">
        <v>2.5</v>
      </c>
      <c r="Y37">
        <v>0</v>
      </c>
      <c r="Z37">
        <v>2.7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56</v>
      </c>
      <c r="AG37">
        <v>3.125</v>
      </c>
      <c r="AH37">
        <v>2</v>
      </c>
      <c r="AI37">
        <v>55463692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ROW(Source!A78)</f>
        <v>78</v>
      </c>
      <c r="B38">
        <v>55463708</v>
      </c>
      <c r="C38">
        <v>55463687</v>
      </c>
      <c r="D38">
        <v>53793782</v>
      </c>
      <c r="E38">
        <v>1</v>
      </c>
      <c r="F38">
        <v>1</v>
      </c>
      <c r="G38">
        <v>1</v>
      </c>
      <c r="H38">
        <v>2</v>
      </c>
      <c r="I38" t="s">
        <v>396</v>
      </c>
      <c r="J38" t="s">
        <v>397</v>
      </c>
      <c r="K38" t="s">
        <v>398</v>
      </c>
      <c r="L38">
        <v>1367</v>
      </c>
      <c r="N38">
        <v>1011</v>
      </c>
      <c r="O38" t="s">
        <v>363</v>
      </c>
      <c r="P38" t="s">
        <v>363</v>
      </c>
      <c r="Q38">
        <v>1</v>
      </c>
      <c r="X38">
        <v>4.8</v>
      </c>
      <c r="Y38">
        <v>0</v>
      </c>
      <c r="Z38">
        <v>10.96</v>
      </c>
      <c r="AA38">
        <v>10.06</v>
      </c>
      <c r="AB38">
        <v>0</v>
      </c>
      <c r="AC38">
        <v>0</v>
      </c>
      <c r="AD38">
        <v>1</v>
      </c>
      <c r="AE38">
        <v>0</v>
      </c>
      <c r="AF38" t="s">
        <v>56</v>
      </c>
      <c r="AG38">
        <v>6</v>
      </c>
      <c r="AH38">
        <v>2</v>
      </c>
      <c r="AI38">
        <v>55463693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ROW(Source!A78)</f>
        <v>78</v>
      </c>
      <c r="B39">
        <v>55463709</v>
      </c>
      <c r="C39">
        <v>55463687</v>
      </c>
      <c r="D39">
        <v>53640736</v>
      </c>
      <c r="E39">
        <v>1</v>
      </c>
      <c r="F39">
        <v>1</v>
      </c>
      <c r="G39">
        <v>1</v>
      </c>
      <c r="H39">
        <v>3</v>
      </c>
      <c r="I39" t="s">
        <v>150</v>
      </c>
      <c r="J39" t="s">
        <v>152</v>
      </c>
      <c r="K39" t="s">
        <v>151</v>
      </c>
      <c r="L39">
        <v>1348</v>
      </c>
      <c r="N39">
        <v>1009</v>
      </c>
      <c r="O39" t="s">
        <v>36</v>
      </c>
      <c r="P39" t="s">
        <v>36</v>
      </c>
      <c r="Q39">
        <v>1000</v>
      </c>
      <c r="X39">
        <v>0.116</v>
      </c>
      <c r="Y39">
        <v>1995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0.116</v>
      </c>
      <c r="AH39">
        <v>2</v>
      </c>
      <c r="AI39">
        <v>55463694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ROW(Source!A78)</f>
        <v>78</v>
      </c>
      <c r="B40">
        <v>55463710</v>
      </c>
      <c r="C40">
        <v>55463687</v>
      </c>
      <c r="D40">
        <v>53640833</v>
      </c>
      <c r="E40">
        <v>1</v>
      </c>
      <c r="F40">
        <v>1</v>
      </c>
      <c r="G40">
        <v>1</v>
      </c>
      <c r="H40">
        <v>3</v>
      </c>
      <c r="I40" t="s">
        <v>154</v>
      </c>
      <c r="J40" t="s">
        <v>156</v>
      </c>
      <c r="K40" t="s">
        <v>155</v>
      </c>
      <c r="L40">
        <v>1348</v>
      </c>
      <c r="N40">
        <v>1009</v>
      </c>
      <c r="O40" t="s">
        <v>36</v>
      </c>
      <c r="P40" t="s">
        <v>36</v>
      </c>
      <c r="Q40">
        <v>1000</v>
      </c>
      <c r="X40">
        <v>0.047</v>
      </c>
      <c r="Y40">
        <v>4488.4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0.047</v>
      </c>
      <c r="AH40">
        <v>2</v>
      </c>
      <c r="AI40">
        <v>55463695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ROW(Source!A78)</f>
        <v>78</v>
      </c>
      <c r="B41">
        <v>55463711</v>
      </c>
      <c r="C41">
        <v>55463687</v>
      </c>
      <c r="D41">
        <v>53643036</v>
      </c>
      <c r="E41">
        <v>1</v>
      </c>
      <c r="F41">
        <v>1</v>
      </c>
      <c r="G41">
        <v>1</v>
      </c>
      <c r="H41">
        <v>3</v>
      </c>
      <c r="I41" t="s">
        <v>399</v>
      </c>
      <c r="J41" t="s">
        <v>400</v>
      </c>
      <c r="K41" t="s">
        <v>401</v>
      </c>
      <c r="L41">
        <v>1327</v>
      </c>
      <c r="N41">
        <v>1005</v>
      </c>
      <c r="O41" t="s">
        <v>165</v>
      </c>
      <c r="P41" t="s">
        <v>165</v>
      </c>
      <c r="Q41">
        <v>1</v>
      </c>
      <c r="X41">
        <v>112.42</v>
      </c>
      <c r="Y41">
        <v>12.19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112.42</v>
      </c>
      <c r="AH41">
        <v>2</v>
      </c>
      <c r="AI41">
        <v>55463696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ROW(Source!A78)</f>
        <v>78</v>
      </c>
      <c r="B42">
        <v>55463712</v>
      </c>
      <c r="C42">
        <v>55463687</v>
      </c>
      <c r="D42">
        <v>53646032</v>
      </c>
      <c r="E42">
        <v>1</v>
      </c>
      <c r="F42">
        <v>1</v>
      </c>
      <c r="G42">
        <v>1</v>
      </c>
      <c r="H42">
        <v>3</v>
      </c>
      <c r="I42" t="s">
        <v>402</v>
      </c>
      <c r="J42" t="s">
        <v>403</v>
      </c>
      <c r="K42" t="s">
        <v>404</v>
      </c>
      <c r="L42">
        <v>1346</v>
      </c>
      <c r="N42">
        <v>1009</v>
      </c>
      <c r="O42" t="s">
        <v>194</v>
      </c>
      <c r="P42" t="s">
        <v>194</v>
      </c>
      <c r="Q42">
        <v>1</v>
      </c>
      <c r="X42">
        <v>1</v>
      </c>
      <c r="Y42">
        <v>1.82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1</v>
      </c>
      <c r="AH42">
        <v>2</v>
      </c>
      <c r="AI42">
        <v>55463697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ROW(Source!A78)</f>
        <v>78</v>
      </c>
      <c r="B43">
        <v>55463713</v>
      </c>
      <c r="C43">
        <v>55463687</v>
      </c>
      <c r="D43">
        <v>53647879</v>
      </c>
      <c r="E43">
        <v>1</v>
      </c>
      <c r="F43">
        <v>1</v>
      </c>
      <c r="G43">
        <v>1</v>
      </c>
      <c r="H43">
        <v>3</v>
      </c>
      <c r="I43" t="s">
        <v>158</v>
      </c>
      <c r="J43" t="s">
        <v>161</v>
      </c>
      <c r="K43" t="s">
        <v>159</v>
      </c>
      <c r="L43">
        <v>1339</v>
      </c>
      <c r="N43">
        <v>1007</v>
      </c>
      <c r="O43" t="s">
        <v>160</v>
      </c>
      <c r="P43" t="s">
        <v>160</v>
      </c>
      <c r="Q43">
        <v>1</v>
      </c>
      <c r="X43">
        <v>0.31</v>
      </c>
      <c r="Y43">
        <v>519.8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0.31</v>
      </c>
      <c r="AH43">
        <v>2</v>
      </c>
      <c r="AI43">
        <v>55463698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ROW(Source!A78)</f>
        <v>78</v>
      </c>
      <c r="B44">
        <v>55463714</v>
      </c>
      <c r="C44">
        <v>55463687</v>
      </c>
      <c r="D44">
        <v>53668634</v>
      </c>
      <c r="E44">
        <v>1</v>
      </c>
      <c r="F44">
        <v>1</v>
      </c>
      <c r="G44">
        <v>1</v>
      </c>
      <c r="H44">
        <v>3</v>
      </c>
      <c r="I44" t="s">
        <v>163</v>
      </c>
      <c r="J44" t="s">
        <v>166</v>
      </c>
      <c r="K44" t="s">
        <v>164</v>
      </c>
      <c r="L44">
        <v>1327</v>
      </c>
      <c r="N44">
        <v>1005</v>
      </c>
      <c r="O44" t="s">
        <v>165</v>
      </c>
      <c r="P44" t="s">
        <v>165</v>
      </c>
      <c r="Q44">
        <v>1</v>
      </c>
      <c r="X44">
        <v>112</v>
      </c>
      <c r="Y44">
        <v>6.2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112</v>
      </c>
      <c r="AH44">
        <v>2</v>
      </c>
      <c r="AI44">
        <v>55463699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ROW(Source!A78)</f>
        <v>78</v>
      </c>
      <c r="B45">
        <v>55463715</v>
      </c>
      <c r="C45">
        <v>55463687</v>
      </c>
      <c r="D45">
        <v>53673335</v>
      </c>
      <c r="E45">
        <v>1</v>
      </c>
      <c r="F45">
        <v>1</v>
      </c>
      <c r="G45">
        <v>1</v>
      </c>
      <c r="H45">
        <v>3</v>
      </c>
      <c r="I45" t="s">
        <v>168</v>
      </c>
      <c r="J45" t="s">
        <v>170</v>
      </c>
      <c r="K45" t="s">
        <v>169</v>
      </c>
      <c r="L45">
        <v>1348</v>
      </c>
      <c r="N45">
        <v>1009</v>
      </c>
      <c r="O45" t="s">
        <v>36</v>
      </c>
      <c r="P45" t="s">
        <v>36</v>
      </c>
      <c r="Q45">
        <v>1000</v>
      </c>
      <c r="X45">
        <v>0.006</v>
      </c>
      <c r="Y45">
        <v>49244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0.006</v>
      </c>
      <c r="AH45">
        <v>2</v>
      </c>
      <c r="AI45">
        <v>55463700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ROW(Source!A78)</f>
        <v>78</v>
      </c>
      <c r="B46">
        <v>55463716</v>
      </c>
      <c r="C46">
        <v>55463687</v>
      </c>
      <c r="D46">
        <v>53674047</v>
      </c>
      <c r="E46">
        <v>1</v>
      </c>
      <c r="F46">
        <v>1</v>
      </c>
      <c r="G46">
        <v>1</v>
      </c>
      <c r="H46">
        <v>3</v>
      </c>
      <c r="I46" t="s">
        <v>172</v>
      </c>
      <c r="J46" t="s">
        <v>174</v>
      </c>
      <c r="K46" t="s">
        <v>173</v>
      </c>
      <c r="L46">
        <v>1348</v>
      </c>
      <c r="N46">
        <v>1009</v>
      </c>
      <c r="O46" t="s">
        <v>36</v>
      </c>
      <c r="P46" t="s">
        <v>36</v>
      </c>
      <c r="Q46">
        <v>1000</v>
      </c>
      <c r="X46">
        <v>0.05</v>
      </c>
      <c r="Y46">
        <v>9073.9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0.05</v>
      </c>
      <c r="AH46">
        <v>2</v>
      </c>
      <c r="AI46">
        <v>55463701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ROW(Source!A78)</f>
        <v>78</v>
      </c>
      <c r="B47">
        <v>55463717</v>
      </c>
      <c r="C47">
        <v>55463687</v>
      </c>
      <c r="D47">
        <v>53674722</v>
      </c>
      <c r="E47">
        <v>1</v>
      </c>
      <c r="F47">
        <v>1</v>
      </c>
      <c r="G47">
        <v>1</v>
      </c>
      <c r="H47">
        <v>3</v>
      </c>
      <c r="I47" t="s">
        <v>176</v>
      </c>
      <c r="J47" t="s">
        <v>178</v>
      </c>
      <c r="K47" t="s">
        <v>177</v>
      </c>
      <c r="L47">
        <v>1348</v>
      </c>
      <c r="N47">
        <v>1009</v>
      </c>
      <c r="O47" t="s">
        <v>36</v>
      </c>
      <c r="P47" t="s">
        <v>36</v>
      </c>
      <c r="Q47">
        <v>1000</v>
      </c>
      <c r="X47">
        <v>0.0011</v>
      </c>
      <c r="Y47">
        <v>7716.7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0.0011</v>
      </c>
      <c r="AH47">
        <v>2</v>
      </c>
      <c r="AI47">
        <v>55463702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ROW(Source!A79)</f>
        <v>79</v>
      </c>
      <c r="B48">
        <v>55463703</v>
      </c>
      <c r="C48">
        <v>55463687</v>
      </c>
      <c r="D48">
        <v>53630125</v>
      </c>
      <c r="E48">
        <v>70</v>
      </c>
      <c r="F48">
        <v>1</v>
      </c>
      <c r="G48">
        <v>1</v>
      </c>
      <c r="H48">
        <v>1</v>
      </c>
      <c r="I48" t="s">
        <v>388</v>
      </c>
      <c r="K48" t="s">
        <v>389</v>
      </c>
      <c r="L48">
        <v>1191</v>
      </c>
      <c r="N48">
        <v>1013</v>
      </c>
      <c r="O48" t="s">
        <v>357</v>
      </c>
      <c r="P48" t="s">
        <v>357</v>
      </c>
      <c r="Q48">
        <v>1</v>
      </c>
      <c r="X48">
        <v>138</v>
      </c>
      <c r="Y48">
        <v>0</v>
      </c>
      <c r="Z48">
        <v>0</v>
      </c>
      <c r="AA48">
        <v>0</v>
      </c>
      <c r="AB48">
        <v>10.21</v>
      </c>
      <c r="AC48">
        <v>0</v>
      </c>
      <c r="AD48">
        <v>1</v>
      </c>
      <c r="AE48">
        <v>1</v>
      </c>
      <c r="AF48" t="s">
        <v>57</v>
      </c>
      <c r="AG48">
        <v>158.7</v>
      </c>
      <c r="AH48">
        <v>2</v>
      </c>
      <c r="AI48">
        <v>55463688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ROW(Source!A79)</f>
        <v>79</v>
      </c>
      <c r="B49">
        <v>55463704</v>
      </c>
      <c r="C49">
        <v>55463687</v>
      </c>
      <c r="D49">
        <v>53630257</v>
      </c>
      <c r="E49">
        <v>70</v>
      </c>
      <c r="F49">
        <v>1</v>
      </c>
      <c r="G49">
        <v>1</v>
      </c>
      <c r="H49">
        <v>1</v>
      </c>
      <c r="I49" t="s">
        <v>358</v>
      </c>
      <c r="K49" t="s">
        <v>359</v>
      </c>
      <c r="L49">
        <v>1191</v>
      </c>
      <c r="N49">
        <v>1013</v>
      </c>
      <c r="O49" t="s">
        <v>357</v>
      </c>
      <c r="P49" t="s">
        <v>357</v>
      </c>
      <c r="Q49">
        <v>1</v>
      </c>
      <c r="X49">
        <v>5.16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F49" t="s">
        <v>56</v>
      </c>
      <c r="AG49">
        <v>6.45</v>
      </c>
      <c r="AH49">
        <v>2</v>
      </c>
      <c r="AI49">
        <v>55463689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ROW(Source!A79)</f>
        <v>79</v>
      </c>
      <c r="B50">
        <v>55463705</v>
      </c>
      <c r="C50">
        <v>55463687</v>
      </c>
      <c r="D50">
        <v>53792191</v>
      </c>
      <c r="E50">
        <v>1</v>
      </c>
      <c r="F50">
        <v>1</v>
      </c>
      <c r="G50">
        <v>1</v>
      </c>
      <c r="H50">
        <v>2</v>
      </c>
      <c r="I50" t="s">
        <v>360</v>
      </c>
      <c r="J50" t="s">
        <v>361</v>
      </c>
      <c r="K50" t="s">
        <v>362</v>
      </c>
      <c r="L50">
        <v>1367</v>
      </c>
      <c r="N50">
        <v>1011</v>
      </c>
      <c r="O50" t="s">
        <v>363</v>
      </c>
      <c r="P50" t="s">
        <v>363</v>
      </c>
      <c r="Q50">
        <v>1</v>
      </c>
      <c r="X50">
        <v>0.11</v>
      </c>
      <c r="Y50">
        <v>0</v>
      </c>
      <c r="Z50">
        <v>31.26</v>
      </c>
      <c r="AA50">
        <v>13.5</v>
      </c>
      <c r="AB50">
        <v>0</v>
      </c>
      <c r="AC50">
        <v>0</v>
      </c>
      <c r="AD50">
        <v>1</v>
      </c>
      <c r="AE50">
        <v>0</v>
      </c>
      <c r="AF50" t="s">
        <v>56</v>
      </c>
      <c r="AG50">
        <v>0.1375</v>
      </c>
      <c r="AH50">
        <v>2</v>
      </c>
      <c r="AI50">
        <v>55463690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ROW(Source!A79)</f>
        <v>79</v>
      </c>
      <c r="B51">
        <v>55463706</v>
      </c>
      <c r="C51">
        <v>55463687</v>
      </c>
      <c r="D51">
        <v>53792927</v>
      </c>
      <c r="E51">
        <v>1</v>
      </c>
      <c r="F51">
        <v>1</v>
      </c>
      <c r="G51">
        <v>1</v>
      </c>
      <c r="H51">
        <v>2</v>
      </c>
      <c r="I51" t="s">
        <v>390</v>
      </c>
      <c r="J51" t="s">
        <v>391</v>
      </c>
      <c r="K51" t="s">
        <v>392</v>
      </c>
      <c r="L51">
        <v>1367</v>
      </c>
      <c r="N51">
        <v>1011</v>
      </c>
      <c r="O51" t="s">
        <v>363</v>
      </c>
      <c r="P51" t="s">
        <v>363</v>
      </c>
      <c r="Q51">
        <v>1</v>
      </c>
      <c r="X51">
        <v>0.25</v>
      </c>
      <c r="Y51">
        <v>0</v>
      </c>
      <c r="Z51">
        <v>65.71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56</v>
      </c>
      <c r="AG51">
        <v>0.3125</v>
      </c>
      <c r="AH51">
        <v>2</v>
      </c>
      <c r="AI51">
        <v>55463691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ROW(Source!A79)</f>
        <v>79</v>
      </c>
      <c r="B52">
        <v>55463707</v>
      </c>
      <c r="C52">
        <v>55463687</v>
      </c>
      <c r="D52">
        <v>53793767</v>
      </c>
      <c r="E52">
        <v>1</v>
      </c>
      <c r="F52">
        <v>1</v>
      </c>
      <c r="G52">
        <v>1</v>
      </c>
      <c r="H52">
        <v>2</v>
      </c>
      <c r="I52" t="s">
        <v>393</v>
      </c>
      <c r="J52" t="s">
        <v>394</v>
      </c>
      <c r="K52" t="s">
        <v>395</v>
      </c>
      <c r="L52">
        <v>1367</v>
      </c>
      <c r="N52">
        <v>1011</v>
      </c>
      <c r="O52" t="s">
        <v>363</v>
      </c>
      <c r="P52" t="s">
        <v>363</v>
      </c>
      <c r="Q52">
        <v>1</v>
      </c>
      <c r="X52">
        <v>2.5</v>
      </c>
      <c r="Y52">
        <v>0</v>
      </c>
      <c r="Z52">
        <v>2.7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56</v>
      </c>
      <c r="AG52">
        <v>3.125</v>
      </c>
      <c r="AH52">
        <v>2</v>
      </c>
      <c r="AI52">
        <v>55463692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ROW(Source!A79)</f>
        <v>79</v>
      </c>
      <c r="B53">
        <v>55463708</v>
      </c>
      <c r="C53">
        <v>55463687</v>
      </c>
      <c r="D53">
        <v>53793782</v>
      </c>
      <c r="E53">
        <v>1</v>
      </c>
      <c r="F53">
        <v>1</v>
      </c>
      <c r="G53">
        <v>1</v>
      </c>
      <c r="H53">
        <v>2</v>
      </c>
      <c r="I53" t="s">
        <v>396</v>
      </c>
      <c r="J53" t="s">
        <v>397</v>
      </c>
      <c r="K53" t="s">
        <v>398</v>
      </c>
      <c r="L53">
        <v>1367</v>
      </c>
      <c r="N53">
        <v>1011</v>
      </c>
      <c r="O53" t="s">
        <v>363</v>
      </c>
      <c r="P53" t="s">
        <v>363</v>
      </c>
      <c r="Q53">
        <v>1</v>
      </c>
      <c r="X53">
        <v>4.8</v>
      </c>
      <c r="Y53">
        <v>0</v>
      </c>
      <c r="Z53">
        <v>10.96</v>
      </c>
      <c r="AA53">
        <v>10.06</v>
      </c>
      <c r="AB53">
        <v>0</v>
      </c>
      <c r="AC53">
        <v>0</v>
      </c>
      <c r="AD53">
        <v>1</v>
      </c>
      <c r="AE53">
        <v>0</v>
      </c>
      <c r="AF53" t="s">
        <v>56</v>
      </c>
      <c r="AG53">
        <v>6</v>
      </c>
      <c r="AH53">
        <v>2</v>
      </c>
      <c r="AI53">
        <v>55463693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ROW(Source!A79)</f>
        <v>79</v>
      </c>
      <c r="B54">
        <v>55463709</v>
      </c>
      <c r="C54">
        <v>55463687</v>
      </c>
      <c r="D54">
        <v>53640736</v>
      </c>
      <c r="E54">
        <v>1</v>
      </c>
      <c r="F54">
        <v>1</v>
      </c>
      <c r="G54">
        <v>1</v>
      </c>
      <c r="H54">
        <v>3</v>
      </c>
      <c r="I54" t="s">
        <v>150</v>
      </c>
      <c r="J54" t="s">
        <v>152</v>
      </c>
      <c r="K54" t="s">
        <v>151</v>
      </c>
      <c r="L54">
        <v>1348</v>
      </c>
      <c r="N54">
        <v>1009</v>
      </c>
      <c r="O54" t="s">
        <v>36</v>
      </c>
      <c r="P54" t="s">
        <v>36</v>
      </c>
      <c r="Q54">
        <v>1000</v>
      </c>
      <c r="X54">
        <v>0.116</v>
      </c>
      <c r="Y54">
        <v>1995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0.116</v>
      </c>
      <c r="AH54">
        <v>2</v>
      </c>
      <c r="AI54">
        <v>55463694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ROW(Source!A79)</f>
        <v>79</v>
      </c>
      <c r="B55">
        <v>55463710</v>
      </c>
      <c r="C55">
        <v>55463687</v>
      </c>
      <c r="D55">
        <v>53640833</v>
      </c>
      <c r="E55">
        <v>1</v>
      </c>
      <c r="F55">
        <v>1</v>
      </c>
      <c r="G55">
        <v>1</v>
      </c>
      <c r="H55">
        <v>3</v>
      </c>
      <c r="I55" t="s">
        <v>154</v>
      </c>
      <c r="J55" t="s">
        <v>156</v>
      </c>
      <c r="K55" t="s">
        <v>155</v>
      </c>
      <c r="L55">
        <v>1348</v>
      </c>
      <c r="N55">
        <v>1009</v>
      </c>
      <c r="O55" t="s">
        <v>36</v>
      </c>
      <c r="P55" t="s">
        <v>36</v>
      </c>
      <c r="Q55">
        <v>1000</v>
      </c>
      <c r="X55">
        <v>0.047</v>
      </c>
      <c r="Y55">
        <v>4488.4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0.047</v>
      </c>
      <c r="AH55">
        <v>2</v>
      </c>
      <c r="AI55">
        <v>55463695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ROW(Source!A79)</f>
        <v>79</v>
      </c>
      <c r="B56">
        <v>55463711</v>
      </c>
      <c r="C56">
        <v>55463687</v>
      </c>
      <c r="D56">
        <v>53643036</v>
      </c>
      <c r="E56">
        <v>1</v>
      </c>
      <c r="F56">
        <v>1</v>
      </c>
      <c r="G56">
        <v>1</v>
      </c>
      <c r="H56">
        <v>3</v>
      </c>
      <c r="I56" t="s">
        <v>399</v>
      </c>
      <c r="J56" t="s">
        <v>400</v>
      </c>
      <c r="K56" t="s">
        <v>401</v>
      </c>
      <c r="L56">
        <v>1327</v>
      </c>
      <c r="N56">
        <v>1005</v>
      </c>
      <c r="O56" t="s">
        <v>165</v>
      </c>
      <c r="P56" t="s">
        <v>165</v>
      </c>
      <c r="Q56">
        <v>1</v>
      </c>
      <c r="X56">
        <v>112.42</v>
      </c>
      <c r="Y56">
        <v>12.19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112.42</v>
      </c>
      <c r="AH56">
        <v>2</v>
      </c>
      <c r="AI56">
        <v>55463696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ROW(Source!A79)</f>
        <v>79</v>
      </c>
      <c r="B57">
        <v>55463712</v>
      </c>
      <c r="C57">
        <v>55463687</v>
      </c>
      <c r="D57">
        <v>53646032</v>
      </c>
      <c r="E57">
        <v>1</v>
      </c>
      <c r="F57">
        <v>1</v>
      </c>
      <c r="G57">
        <v>1</v>
      </c>
      <c r="H57">
        <v>3</v>
      </c>
      <c r="I57" t="s">
        <v>402</v>
      </c>
      <c r="J57" t="s">
        <v>403</v>
      </c>
      <c r="K57" t="s">
        <v>404</v>
      </c>
      <c r="L57">
        <v>1346</v>
      </c>
      <c r="N57">
        <v>1009</v>
      </c>
      <c r="O57" t="s">
        <v>194</v>
      </c>
      <c r="P57" t="s">
        <v>194</v>
      </c>
      <c r="Q57">
        <v>1</v>
      </c>
      <c r="X57">
        <v>1</v>
      </c>
      <c r="Y57">
        <v>1.82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</v>
      </c>
      <c r="AH57">
        <v>2</v>
      </c>
      <c r="AI57">
        <v>55463697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ROW(Source!A79)</f>
        <v>79</v>
      </c>
      <c r="B58">
        <v>55463713</v>
      </c>
      <c r="C58">
        <v>55463687</v>
      </c>
      <c r="D58">
        <v>53647879</v>
      </c>
      <c r="E58">
        <v>1</v>
      </c>
      <c r="F58">
        <v>1</v>
      </c>
      <c r="G58">
        <v>1</v>
      </c>
      <c r="H58">
        <v>3</v>
      </c>
      <c r="I58" t="s">
        <v>158</v>
      </c>
      <c r="J58" t="s">
        <v>161</v>
      </c>
      <c r="K58" t="s">
        <v>159</v>
      </c>
      <c r="L58">
        <v>1339</v>
      </c>
      <c r="N58">
        <v>1007</v>
      </c>
      <c r="O58" t="s">
        <v>160</v>
      </c>
      <c r="P58" t="s">
        <v>160</v>
      </c>
      <c r="Q58">
        <v>1</v>
      </c>
      <c r="X58">
        <v>0.31</v>
      </c>
      <c r="Y58">
        <v>519.8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0.31</v>
      </c>
      <c r="AH58">
        <v>2</v>
      </c>
      <c r="AI58">
        <v>55463698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ROW(Source!A79)</f>
        <v>79</v>
      </c>
      <c r="B59">
        <v>55463714</v>
      </c>
      <c r="C59">
        <v>55463687</v>
      </c>
      <c r="D59">
        <v>53668634</v>
      </c>
      <c r="E59">
        <v>1</v>
      </c>
      <c r="F59">
        <v>1</v>
      </c>
      <c r="G59">
        <v>1</v>
      </c>
      <c r="H59">
        <v>3</v>
      </c>
      <c r="I59" t="s">
        <v>163</v>
      </c>
      <c r="J59" t="s">
        <v>166</v>
      </c>
      <c r="K59" t="s">
        <v>164</v>
      </c>
      <c r="L59">
        <v>1327</v>
      </c>
      <c r="N59">
        <v>1005</v>
      </c>
      <c r="O59" t="s">
        <v>165</v>
      </c>
      <c r="P59" t="s">
        <v>165</v>
      </c>
      <c r="Q59">
        <v>1</v>
      </c>
      <c r="X59">
        <v>112</v>
      </c>
      <c r="Y59">
        <v>6.2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112</v>
      </c>
      <c r="AH59">
        <v>2</v>
      </c>
      <c r="AI59">
        <v>55463699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ROW(Source!A79)</f>
        <v>79</v>
      </c>
      <c r="B60">
        <v>55463715</v>
      </c>
      <c r="C60">
        <v>55463687</v>
      </c>
      <c r="D60">
        <v>53673335</v>
      </c>
      <c r="E60">
        <v>1</v>
      </c>
      <c r="F60">
        <v>1</v>
      </c>
      <c r="G60">
        <v>1</v>
      </c>
      <c r="H60">
        <v>3</v>
      </c>
      <c r="I60" t="s">
        <v>168</v>
      </c>
      <c r="J60" t="s">
        <v>170</v>
      </c>
      <c r="K60" t="s">
        <v>169</v>
      </c>
      <c r="L60">
        <v>1348</v>
      </c>
      <c r="N60">
        <v>1009</v>
      </c>
      <c r="O60" t="s">
        <v>36</v>
      </c>
      <c r="P60" t="s">
        <v>36</v>
      </c>
      <c r="Q60">
        <v>1000</v>
      </c>
      <c r="X60">
        <v>0.006</v>
      </c>
      <c r="Y60">
        <v>49244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0.006</v>
      </c>
      <c r="AH60">
        <v>2</v>
      </c>
      <c r="AI60">
        <v>55463700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ROW(Source!A79)</f>
        <v>79</v>
      </c>
      <c r="B61">
        <v>55463716</v>
      </c>
      <c r="C61">
        <v>55463687</v>
      </c>
      <c r="D61">
        <v>53674047</v>
      </c>
      <c r="E61">
        <v>1</v>
      </c>
      <c r="F61">
        <v>1</v>
      </c>
      <c r="G61">
        <v>1</v>
      </c>
      <c r="H61">
        <v>3</v>
      </c>
      <c r="I61" t="s">
        <v>172</v>
      </c>
      <c r="J61" t="s">
        <v>174</v>
      </c>
      <c r="K61" t="s">
        <v>173</v>
      </c>
      <c r="L61">
        <v>1348</v>
      </c>
      <c r="N61">
        <v>1009</v>
      </c>
      <c r="O61" t="s">
        <v>36</v>
      </c>
      <c r="P61" t="s">
        <v>36</v>
      </c>
      <c r="Q61">
        <v>1000</v>
      </c>
      <c r="X61">
        <v>0.05</v>
      </c>
      <c r="Y61">
        <v>9073.9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0.05</v>
      </c>
      <c r="AH61">
        <v>2</v>
      </c>
      <c r="AI61">
        <v>55463701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ROW(Source!A79)</f>
        <v>79</v>
      </c>
      <c r="B62">
        <v>55463717</v>
      </c>
      <c r="C62">
        <v>55463687</v>
      </c>
      <c r="D62">
        <v>53674722</v>
      </c>
      <c r="E62">
        <v>1</v>
      </c>
      <c r="F62">
        <v>1</v>
      </c>
      <c r="G62">
        <v>1</v>
      </c>
      <c r="H62">
        <v>3</v>
      </c>
      <c r="I62" t="s">
        <v>176</v>
      </c>
      <c r="J62" t="s">
        <v>178</v>
      </c>
      <c r="K62" t="s">
        <v>177</v>
      </c>
      <c r="L62">
        <v>1348</v>
      </c>
      <c r="N62">
        <v>1009</v>
      </c>
      <c r="O62" t="s">
        <v>36</v>
      </c>
      <c r="P62" t="s">
        <v>36</v>
      </c>
      <c r="Q62">
        <v>1000</v>
      </c>
      <c r="X62">
        <v>0.0011</v>
      </c>
      <c r="Y62">
        <v>7716.7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0.0011</v>
      </c>
      <c r="AH62">
        <v>2</v>
      </c>
      <c r="AI62">
        <v>55463702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ROW(Source!A94)</f>
        <v>94</v>
      </c>
      <c r="B63">
        <v>55463735</v>
      </c>
      <c r="C63">
        <v>55463725</v>
      </c>
      <c r="D63">
        <v>53630033</v>
      </c>
      <c r="E63">
        <v>70</v>
      </c>
      <c r="F63">
        <v>1</v>
      </c>
      <c r="G63">
        <v>1</v>
      </c>
      <c r="H63">
        <v>1</v>
      </c>
      <c r="I63" t="s">
        <v>380</v>
      </c>
      <c r="K63" t="s">
        <v>381</v>
      </c>
      <c r="L63">
        <v>1191</v>
      </c>
      <c r="N63">
        <v>1013</v>
      </c>
      <c r="O63" t="s">
        <v>357</v>
      </c>
      <c r="P63" t="s">
        <v>357</v>
      </c>
      <c r="Q63">
        <v>1</v>
      </c>
      <c r="X63">
        <v>135</v>
      </c>
      <c r="Y63">
        <v>0</v>
      </c>
      <c r="Z63">
        <v>0</v>
      </c>
      <c r="AA63">
        <v>0</v>
      </c>
      <c r="AB63">
        <v>7.8</v>
      </c>
      <c r="AC63">
        <v>0</v>
      </c>
      <c r="AD63">
        <v>1</v>
      </c>
      <c r="AE63">
        <v>1</v>
      </c>
      <c r="AF63" t="s">
        <v>57</v>
      </c>
      <c r="AG63">
        <v>155.25</v>
      </c>
      <c r="AH63">
        <v>2</v>
      </c>
      <c r="AI63">
        <v>55463726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ROW(Source!A94)</f>
        <v>94</v>
      </c>
      <c r="B64">
        <v>55463736</v>
      </c>
      <c r="C64">
        <v>55463725</v>
      </c>
      <c r="D64">
        <v>53630257</v>
      </c>
      <c r="E64">
        <v>70</v>
      </c>
      <c r="F64">
        <v>1</v>
      </c>
      <c r="G64">
        <v>1</v>
      </c>
      <c r="H64">
        <v>1</v>
      </c>
      <c r="I64" t="s">
        <v>358</v>
      </c>
      <c r="K64" t="s">
        <v>359</v>
      </c>
      <c r="L64">
        <v>1191</v>
      </c>
      <c r="N64">
        <v>1013</v>
      </c>
      <c r="O64" t="s">
        <v>357</v>
      </c>
      <c r="P64" t="s">
        <v>357</v>
      </c>
      <c r="Q64">
        <v>1</v>
      </c>
      <c r="X64">
        <v>18.12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56</v>
      </c>
      <c r="AG64">
        <v>22.650000000000002</v>
      </c>
      <c r="AH64">
        <v>2</v>
      </c>
      <c r="AI64">
        <v>55463727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ROW(Source!A94)</f>
        <v>94</v>
      </c>
      <c r="B65">
        <v>55463737</v>
      </c>
      <c r="C65">
        <v>55463725</v>
      </c>
      <c r="D65">
        <v>53791939</v>
      </c>
      <c r="E65">
        <v>1</v>
      </c>
      <c r="F65">
        <v>1</v>
      </c>
      <c r="G65">
        <v>1</v>
      </c>
      <c r="H65">
        <v>2</v>
      </c>
      <c r="I65" t="s">
        <v>405</v>
      </c>
      <c r="J65" t="s">
        <v>406</v>
      </c>
      <c r="K65" t="s">
        <v>407</v>
      </c>
      <c r="L65">
        <v>1367</v>
      </c>
      <c r="N65">
        <v>1011</v>
      </c>
      <c r="O65" t="s">
        <v>363</v>
      </c>
      <c r="P65" t="s">
        <v>363</v>
      </c>
      <c r="Q65">
        <v>1</v>
      </c>
      <c r="X65">
        <v>18</v>
      </c>
      <c r="Y65">
        <v>0</v>
      </c>
      <c r="Z65">
        <v>86.4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56</v>
      </c>
      <c r="AG65">
        <v>22.5</v>
      </c>
      <c r="AH65">
        <v>2</v>
      </c>
      <c r="AI65">
        <v>55463728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ROW(Source!A94)</f>
        <v>94</v>
      </c>
      <c r="B66">
        <v>55463738</v>
      </c>
      <c r="C66">
        <v>55463725</v>
      </c>
      <c r="D66">
        <v>53792275</v>
      </c>
      <c r="E66">
        <v>1</v>
      </c>
      <c r="F66">
        <v>1</v>
      </c>
      <c r="G66">
        <v>1</v>
      </c>
      <c r="H66">
        <v>2</v>
      </c>
      <c r="I66" t="s">
        <v>408</v>
      </c>
      <c r="J66" t="s">
        <v>409</v>
      </c>
      <c r="K66" t="s">
        <v>410</v>
      </c>
      <c r="L66">
        <v>1367</v>
      </c>
      <c r="N66">
        <v>1011</v>
      </c>
      <c r="O66" t="s">
        <v>363</v>
      </c>
      <c r="P66" t="s">
        <v>363</v>
      </c>
      <c r="Q66">
        <v>1</v>
      </c>
      <c r="X66">
        <v>5.93</v>
      </c>
      <c r="Y66">
        <v>0</v>
      </c>
      <c r="Z66">
        <v>0.5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56</v>
      </c>
      <c r="AG66">
        <v>7.4125</v>
      </c>
      <c r="AH66">
        <v>2</v>
      </c>
      <c r="AI66">
        <v>55463729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ROW(Source!A94)</f>
        <v>94</v>
      </c>
      <c r="B67">
        <v>55463739</v>
      </c>
      <c r="C67">
        <v>55463725</v>
      </c>
      <c r="D67">
        <v>53792927</v>
      </c>
      <c r="E67">
        <v>1</v>
      </c>
      <c r="F67">
        <v>1</v>
      </c>
      <c r="G67">
        <v>1</v>
      </c>
      <c r="H67">
        <v>2</v>
      </c>
      <c r="I67" t="s">
        <v>390</v>
      </c>
      <c r="J67" t="s">
        <v>391</v>
      </c>
      <c r="K67" t="s">
        <v>392</v>
      </c>
      <c r="L67">
        <v>1367</v>
      </c>
      <c r="N67">
        <v>1011</v>
      </c>
      <c r="O67" t="s">
        <v>363</v>
      </c>
      <c r="P67" t="s">
        <v>363</v>
      </c>
      <c r="Q67">
        <v>1</v>
      </c>
      <c r="X67">
        <v>0.12</v>
      </c>
      <c r="Y67">
        <v>0</v>
      </c>
      <c r="Z67">
        <v>65.71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56</v>
      </c>
      <c r="AG67">
        <v>0.15</v>
      </c>
      <c r="AH67">
        <v>2</v>
      </c>
      <c r="AI67">
        <v>55463730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ROW(Source!A94)</f>
        <v>94</v>
      </c>
      <c r="B68">
        <v>55463740</v>
      </c>
      <c r="C68">
        <v>55463725</v>
      </c>
      <c r="D68">
        <v>53642555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1339</v>
      </c>
      <c r="N68">
        <v>1007</v>
      </c>
      <c r="O68" t="s">
        <v>160</v>
      </c>
      <c r="P68" t="s">
        <v>160</v>
      </c>
      <c r="Q68">
        <v>1</v>
      </c>
      <c r="X68">
        <v>1.75</v>
      </c>
      <c r="Y68">
        <v>2.44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1.75</v>
      </c>
      <c r="AH68">
        <v>2</v>
      </c>
      <c r="AI68">
        <v>55463731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ROW(Source!A94)</f>
        <v>94</v>
      </c>
      <c r="B69">
        <v>55463741</v>
      </c>
      <c r="C69">
        <v>55463725</v>
      </c>
      <c r="D69">
        <v>53643038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416</v>
      </c>
      <c r="L69">
        <v>1327</v>
      </c>
      <c r="N69">
        <v>1005</v>
      </c>
      <c r="O69" t="s">
        <v>165</v>
      </c>
      <c r="P69" t="s">
        <v>165</v>
      </c>
      <c r="Q69">
        <v>1</v>
      </c>
      <c r="X69">
        <v>250</v>
      </c>
      <c r="Y69">
        <v>3.62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250</v>
      </c>
      <c r="AH69">
        <v>2</v>
      </c>
      <c r="AI69">
        <v>55463732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ROW(Source!A94)</f>
        <v>94</v>
      </c>
      <c r="B70">
        <v>55463742</v>
      </c>
      <c r="C70">
        <v>55463725</v>
      </c>
      <c r="D70">
        <v>53631071</v>
      </c>
      <c r="E70">
        <v>70</v>
      </c>
      <c r="F70">
        <v>1</v>
      </c>
      <c r="G70">
        <v>1</v>
      </c>
      <c r="H70">
        <v>3</v>
      </c>
      <c r="I70" t="s">
        <v>458</v>
      </c>
      <c r="K70" t="s">
        <v>459</v>
      </c>
      <c r="L70">
        <v>1339</v>
      </c>
      <c r="N70">
        <v>1007</v>
      </c>
      <c r="O70" t="s">
        <v>160</v>
      </c>
      <c r="P70" t="s">
        <v>160</v>
      </c>
      <c r="Q70">
        <v>1</v>
      </c>
      <c r="X70">
        <v>102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G70">
        <v>102</v>
      </c>
      <c r="AH70">
        <v>3</v>
      </c>
      <c r="AI70">
        <v>-1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ROW(Source!A95)</f>
        <v>95</v>
      </c>
      <c r="B71">
        <v>55463735</v>
      </c>
      <c r="C71">
        <v>55463725</v>
      </c>
      <c r="D71">
        <v>53630033</v>
      </c>
      <c r="E71">
        <v>70</v>
      </c>
      <c r="F71">
        <v>1</v>
      </c>
      <c r="G71">
        <v>1</v>
      </c>
      <c r="H71">
        <v>1</v>
      </c>
      <c r="I71" t="s">
        <v>380</v>
      </c>
      <c r="K71" t="s">
        <v>381</v>
      </c>
      <c r="L71">
        <v>1191</v>
      </c>
      <c r="N71">
        <v>1013</v>
      </c>
      <c r="O71" t="s">
        <v>357</v>
      </c>
      <c r="P71" t="s">
        <v>357</v>
      </c>
      <c r="Q71">
        <v>1</v>
      </c>
      <c r="X71">
        <v>135</v>
      </c>
      <c r="Y71">
        <v>0</v>
      </c>
      <c r="Z71">
        <v>0</v>
      </c>
      <c r="AA71">
        <v>0</v>
      </c>
      <c r="AB71">
        <v>7.8</v>
      </c>
      <c r="AC71">
        <v>0</v>
      </c>
      <c r="AD71">
        <v>1</v>
      </c>
      <c r="AE71">
        <v>1</v>
      </c>
      <c r="AF71" t="s">
        <v>57</v>
      </c>
      <c r="AG71">
        <v>155.25</v>
      </c>
      <c r="AH71">
        <v>2</v>
      </c>
      <c r="AI71">
        <v>55463726</v>
      </c>
      <c r="AJ71">
        <v>72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ROW(Source!A95)</f>
        <v>95</v>
      </c>
      <c r="B72">
        <v>55463736</v>
      </c>
      <c r="C72">
        <v>55463725</v>
      </c>
      <c r="D72">
        <v>53630257</v>
      </c>
      <c r="E72">
        <v>70</v>
      </c>
      <c r="F72">
        <v>1</v>
      </c>
      <c r="G72">
        <v>1</v>
      </c>
      <c r="H72">
        <v>1</v>
      </c>
      <c r="I72" t="s">
        <v>358</v>
      </c>
      <c r="K72" t="s">
        <v>359</v>
      </c>
      <c r="L72">
        <v>1191</v>
      </c>
      <c r="N72">
        <v>1013</v>
      </c>
      <c r="O72" t="s">
        <v>357</v>
      </c>
      <c r="P72" t="s">
        <v>357</v>
      </c>
      <c r="Q72">
        <v>1</v>
      </c>
      <c r="X72">
        <v>18.12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56</v>
      </c>
      <c r="AG72">
        <v>22.650000000000002</v>
      </c>
      <c r="AH72">
        <v>2</v>
      </c>
      <c r="AI72">
        <v>55463727</v>
      </c>
      <c r="AJ72">
        <v>73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ROW(Source!A95)</f>
        <v>95</v>
      </c>
      <c r="B73">
        <v>55463737</v>
      </c>
      <c r="C73">
        <v>55463725</v>
      </c>
      <c r="D73">
        <v>53791939</v>
      </c>
      <c r="E73">
        <v>1</v>
      </c>
      <c r="F73">
        <v>1</v>
      </c>
      <c r="G73">
        <v>1</v>
      </c>
      <c r="H73">
        <v>2</v>
      </c>
      <c r="I73" t="s">
        <v>405</v>
      </c>
      <c r="J73" t="s">
        <v>406</v>
      </c>
      <c r="K73" t="s">
        <v>407</v>
      </c>
      <c r="L73">
        <v>1367</v>
      </c>
      <c r="N73">
        <v>1011</v>
      </c>
      <c r="O73" t="s">
        <v>363</v>
      </c>
      <c r="P73" t="s">
        <v>363</v>
      </c>
      <c r="Q73">
        <v>1</v>
      </c>
      <c r="X73">
        <v>18</v>
      </c>
      <c r="Y73">
        <v>0</v>
      </c>
      <c r="Z73">
        <v>86.4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56</v>
      </c>
      <c r="AG73">
        <v>22.5</v>
      </c>
      <c r="AH73">
        <v>2</v>
      </c>
      <c r="AI73">
        <v>55463728</v>
      </c>
      <c r="AJ73">
        <v>74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ROW(Source!A95)</f>
        <v>95</v>
      </c>
      <c r="B74">
        <v>55463738</v>
      </c>
      <c r="C74">
        <v>55463725</v>
      </c>
      <c r="D74">
        <v>53792275</v>
      </c>
      <c r="E74">
        <v>1</v>
      </c>
      <c r="F74">
        <v>1</v>
      </c>
      <c r="G74">
        <v>1</v>
      </c>
      <c r="H74">
        <v>2</v>
      </c>
      <c r="I74" t="s">
        <v>408</v>
      </c>
      <c r="J74" t="s">
        <v>409</v>
      </c>
      <c r="K74" t="s">
        <v>410</v>
      </c>
      <c r="L74">
        <v>1367</v>
      </c>
      <c r="N74">
        <v>1011</v>
      </c>
      <c r="O74" t="s">
        <v>363</v>
      </c>
      <c r="P74" t="s">
        <v>363</v>
      </c>
      <c r="Q74">
        <v>1</v>
      </c>
      <c r="X74">
        <v>5.93</v>
      </c>
      <c r="Y74">
        <v>0</v>
      </c>
      <c r="Z74">
        <v>0.5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56</v>
      </c>
      <c r="AG74">
        <v>7.4125</v>
      </c>
      <c r="AH74">
        <v>2</v>
      </c>
      <c r="AI74">
        <v>55463729</v>
      </c>
      <c r="AJ74">
        <v>75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ROW(Source!A95)</f>
        <v>95</v>
      </c>
      <c r="B75">
        <v>55463739</v>
      </c>
      <c r="C75">
        <v>55463725</v>
      </c>
      <c r="D75">
        <v>53792927</v>
      </c>
      <c r="E75">
        <v>1</v>
      </c>
      <c r="F75">
        <v>1</v>
      </c>
      <c r="G75">
        <v>1</v>
      </c>
      <c r="H75">
        <v>2</v>
      </c>
      <c r="I75" t="s">
        <v>390</v>
      </c>
      <c r="J75" t="s">
        <v>391</v>
      </c>
      <c r="K75" t="s">
        <v>392</v>
      </c>
      <c r="L75">
        <v>1367</v>
      </c>
      <c r="N75">
        <v>1011</v>
      </c>
      <c r="O75" t="s">
        <v>363</v>
      </c>
      <c r="P75" t="s">
        <v>363</v>
      </c>
      <c r="Q75">
        <v>1</v>
      </c>
      <c r="X75">
        <v>0.12</v>
      </c>
      <c r="Y75">
        <v>0</v>
      </c>
      <c r="Z75">
        <v>65.71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56</v>
      </c>
      <c r="AG75">
        <v>0.15</v>
      </c>
      <c r="AH75">
        <v>2</v>
      </c>
      <c r="AI75">
        <v>55463730</v>
      </c>
      <c r="AJ75">
        <v>76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ROW(Source!A95)</f>
        <v>95</v>
      </c>
      <c r="B76">
        <v>55463740</v>
      </c>
      <c r="C76">
        <v>55463725</v>
      </c>
      <c r="D76">
        <v>53642555</v>
      </c>
      <c r="E76">
        <v>1</v>
      </c>
      <c r="F76">
        <v>1</v>
      </c>
      <c r="G76">
        <v>1</v>
      </c>
      <c r="H76">
        <v>3</v>
      </c>
      <c r="I76" t="s">
        <v>411</v>
      </c>
      <c r="J76" t="s">
        <v>412</v>
      </c>
      <c r="K76" t="s">
        <v>413</v>
      </c>
      <c r="L76">
        <v>1339</v>
      </c>
      <c r="N76">
        <v>1007</v>
      </c>
      <c r="O76" t="s">
        <v>160</v>
      </c>
      <c r="P76" t="s">
        <v>160</v>
      </c>
      <c r="Q76">
        <v>1</v>
      </c>
      <c r="X76">
        <v>1.75</v>
      </c>
      <c r="Y76">
        <v>2.44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1.75</v>
      </c>
      <c r="AH76">
        <v>2</v>
      </c>
      <c r="AI76">
        <v>55463731</v>
      </c>
      <c r="AJ76">
        <v>77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ROW(Source!A95)</f>
        <v>95</v>
      </c>
      <c r="B77">
        <v>55463741</v>
      </c>
      <c r="C77">
        <v>55463725</v>
      </c>
      <c r="D77">
        <v>53643038</v>
      </c>
      <c r="E77">
        <v>1</v>
      </c>
      <c r="F77">
        <v>1</v>
      </c>
      <c r="G77">
        <v>1</v>
      </c>
      <c r="H77">
        <v>3</v>
      </c>
      <c r="I77" t="s">
        <v>414</v>
      </c>
      <c r="J77" t="s">
        <v>415</v>
      </c>
      <c r="K77" t="s">
        <v>416</v>
      </c>
      <c r="L77">
        <v>1327</v>
      </c>
      <c r="N77">
        <v>1005</v>
      </c>
      <c r="O77" t="s">
        <v>165</v>
      </c>
      <c r="P77" t="s">
        <v>165</v>
      </c>
      <c r="Q77">
        <v>1</v>
      </c>
      <c r="X77">
        <v>250</v>
      </c>
      <c r="Y77">
        <v>3.62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250</v>
      </c>
      <c r="AH77">
        <v>2</v>
      </c>
      <c r="AI77">
        <v>55463732</v>
      </c>
      <c r="AJ77">
        <v>78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ROW(Source!A95)</f>
        <v>95</v>
      </c>
      <c r="B78">
        <v>55463742</v>
      </c>
      <c r="C78">
        <v>55463725</v>
      </c>
      <c r="D78">
        <v>53631071</v>
      </c>
      <c r="E78">
        <v>70</v>
      </c>
      <c r="F78">
        <v>1</v>
      </c>
      <c r="G78">
        <v>1</v>
      </c>
      <c r="H78">
        <v>3</v>
      </c>
      <c r="I78" t="s">
        <v>458</v>
      </c>
      <c r="K78" t="s">
        <v>459</v>
      </c>
      <c r="L78">
        <v>1339</v>
      </c>
      <c r="N78">
        <v>1007</v>
      </c>
      <c r="O78" t="s">
        <v>160</v>
      </c>
      <c r="P78" t="s">
        <v>160</v>
      </c>
      <c r="Q78">
        <v>1</v>
      </c>
      <c r="X78">
        <v>102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>
        <v>102</v>
      </c>
      <c r="AH78">
        <v>3</v>
      </c>
      <c r="AI78">
        <v>-1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ROW(Source!A100)</f>
        <v>100</v>
      </c>
      <c r="B79">
        <v>55463751</v>
      </c>
      <c r="C79">
        <v>55463745</v>
      </c>
      <c r="D79">
        <v>44800273</v>
      </c>
      <c r="E79">
        <v>54</v>
      </c>
      <c r="F79">
        <v>1</v>
      </c>
      <c r="G79">
        <v>1</v>
      </c>
      <c r="H79">
        <v>1</v>
      </c>
      <c r="I79" t="s">
        <v>417</v>
      </c>
      <c r="K79" t="s">
        <v>418</v>
      </c>
      <c r="L79">
        <v>1191</v>
      </c>
      <c r="N79">
        <v>1013</v>
      </c>
      <c r="O79" t="s">
        <v>357</v>
      </c>
      <c r="P79" t="s">
        <v>357</v>
      </c>
      <c r="Q79">
        <v>1</v>
      </c>
      <c r="X79">
        <v>11.4</v>
      </c>
      <c r="Y79">
        <v>0</v>
      </c>
      <c r="Z79">
        <v>0</v>
      </c>
      <c r="AA79">
        <v>0</v>
      </c>
      <c r="AB79">
        <v>9.07</v>
      </c>
      <c r="AC79">
        <v>0</v>
      </c>
      <c r="AD79">
        <v>1</v>
      </c>
      <c r="AE79">
        <v>1</v>
      </c>
      <c r="AF79" t="s">
        <v>203</v>
      </c>
      <c r="AG79">
        <v>26.22</v>
      </c>
      <c r="AH79">
        <v>2</v>
      </c>
      <c r="AI79">
        <v>55463746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ROW(Source!A100)</f>
        <v>100</v>
      </c>
      <c r="B80">
        <v>55463752</v>
      </c>
      <c r="C80">
        <v>55463745</v>
      </c>
      <c r="D80">
        <v>44800452</v>
      </c>
      <c r="E80">
        <v>54</v>
      </c>
      <c r="F80">
        <v>1</v>
      </c>
      <c r="G80">
        <v>1</v>
      </c>
      <c r="H80">
        <v>1</v>
      </c>
      <c r="I80" t="s">
        <v>358</v>
      </c>
      <c r="K80" t="s">
        <v>359</v>
      </c>
      <c r="L80">
        <v>1191</v>
      </c>
      <c r="N80">
        <v>1013</v>
      </c>
      <c r="O80" t="s">
        <v>357</v>
      </c>
      <c r="P80" t="s">
        <v>357</v>
      </c>
      <c r="Q80">
        <v>1</v>
      </c>
      <c r="X80">
        <v>0.16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202</v>
      </c>
      <c r="AG80">
        <v>0.4</v>
      </c>
      <c r="AH80">
        <v>2</v>
      </c>
      <c r="AI80">
        <v>55463747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ROW(Source!A100)</f>
        <v>100</v>
      </c>
      <c r="B81">
        <v>55463753</v>
      </c>
      <c r="C81">
        <v>55463745</v>
      </c>
      <c r="D81">
        <v>44976261</v>
      </c>
      <c r="E81">
        <v>1</v>
      </c>
      <c r="F81">
        <v>1</v>
      </c>
      <c r="G81">
        <v>1</v>
      </c>
      <c r="H81">
        <v>2</v>
      </c>
      <c r="I81" t="s">
        <v>419</v>
      </c>
      <c r="J81" t="s">
        <v>420</v>
      </c>
      <c r="K81" t="s">
        <v>421</v>
      </c>
      <c r="L81">
        <v>1368</v>
      </c>
      <c r="N81">
        <v>1011</v>
      </c>
      <c r="O81" t="s">
        <v>371</v>
      </c>
      <c r="P81" t="s">
        <v>371</v>
      </c>
      <c r="Q81">
        <v>1</v>
      </c>
      <c r="X81">
        <v>0.07</v>
      </c>
      <c r="Y81">
        <v>0</v>
      </c>
      <c r="Z81">
        <v>115.4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202</v>
      </c>
      <c r="AG81">
        <v>0.17500000000000002</v>
      </c>
      <c r="AH81">
        <v>2</v>
      </c>
      <c r="AI81">
        <v>55463748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ROW(Source!A100)</f>
        <v>100</v>
      </c>
      <c r="B82">
        <v>55463754</v>
      </c>
      <c r="C82">
        <v>55463745</v>
      </c>
      <c r="D82">
        <v>44977280</v>
      </c>
      <c r="E82">
        <v>1</v>
      </c>
      <c r="F82">
        <v>1</v>
      </c>
      <c r="G82">
        <v>1</v>
      </c>
      <c r="H82">
        <v>2</v>
      </c>
      <c r="I82" t="s">
        <v>390</v>
      </c>
      <c r="J82" t="s">
        <v>391</v>
      </c>
      <c r="K82" t="s">
        <v>392</v>
      </c>
      <c r="L82">
        <v>1368</v>
      </c>
      <c r="N82">
        <v>1011</v>
      </c>
      <c r="O82" t="s">
        <v>371</v>
      </c>
      <c r="P82" t="s">
        <v>371</v>
      </c>
      <c r="Q82">
        <v>1</v>
      </c>
      <c r="X82">
        <v>0.09</v>
      </c>
      <c r="Y82">
        <v>0</v>
      </c>
      <c r="Z82">
        <v>65.71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202</v>
      </c>
      <c r="AG82">
        <v>0.22499999999999998</v>
      </c>
      <c r="AH82">
        <v>2</v>
      </c>
      <c r="AI82">
        <v>55463749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ROW(Source!A100)</f>
        <v>100</v>
      </c>
      <c r="B83">
        <v>55463755</v>
      </c>
      <c r="C83">
        <v>55463745</v>
      </c>
      <c r="D83">
        <v>44802587</v>
      </c>
      <c r="E83">
        <v>54</v>
      </c>
      <c r="F83">
        <v>1</v>
      </c>
      <c r="G83">
        <v>1</v>
      </c>
      <c r="H83">
        <v>3</v>
      </c>
      <c r="I83" t="s">
        <v>460</v>
      </c>
      <c r="K83" t="s">
        <v>461</v>
      </c>
      <c r="L83">
        <v>1348</v>
      </c>
      <c r="N83">
        <v>1009</v>
      </c>
      <c r="O83" t="s">
        <v>36</v>
      </c>
      <c r="P83" t="s">
        <v>36</v>
      </c>
      <c r="Q83">
        <v>1000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201</v>
      </c>
      <c r="AG83">
        <v>0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ROW(Source!A101)</f>
        <v>101</v>
      </c>
      <c r="B84">
        <v>55463751</v>
      </c>
      <c r="C84">
        <v>55463745</v>
      </c>
      <c r="D84">
        <v>44800273</v>
      </c>
      <c r="E84">
        <v>54</v>
      </c>
      <c r="F84">
        <v>1</v>
      </c>
      <c r="G84">
        <v>1</v>
      </c>
      <c r="H84">
        <v>1</v>
      </c>
      <c r="I84" t="s">
        <v>417</v>
      </c>
      <c r="K84" t="s">
        <v>418</v>
      </c>
      <c r="L84">
        <v>1191</v>
      </c>
      <c r="N84">
        <v>1013</v>
      </c>
      <c r="O84" t="s">
        <v>357</v>
      </c>
      <c r="P84" t="s">
        <v>357</v>
      </c>
      <c r="Q84">
        <v>1</v>
      </c>
      <c r="X84">
        <v>11.4</v>
      </c>
      <c r="Y84">
        <v>0</v>
      </c>
      <c r="Z84">
        <v>0</v>
      </c>
      <c r="AA84">
        <v>0</v>
      </c>
      <c r="AB84">
        <v>9.07</v>
      </c>
      <c r="AC84">
        <v>0</v>
      </c>
      <c r="AD84">
        <v>1</v>
      </c>
      <c r="AE84">
        <v>1</v>
      </c>
      <c r="AF84" t="s">
        <v>203</v>
      </c>
      <c r="AG84">
        <v>26.22</v>
      </c>
      <c r="AH84">
        <v>2</v>
      </c>
      <c r="AI84">
        <v>55463746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ROW(Source!A101)</f>
        <v>101</v>
      </c>
      <c r="B85">
        <v>55463752</v>
      </c>
      <c r="C85">
        <v>55463745</v>
      </c>
      <c r="D85">
        <v>44800452</v>
      </c>
      <c r="E85">
        <v>54</v>
      </c>
      <c r="F85">
        <v>1</v>
      </c>
      <c r="G85">
        <v>1</v>
      </c>
      <c r="H85">
        <v>1</v>
      </c>
      <c r="I85" t="s">
        <v>358</v>
      </c>
      <c r="K85" t="s">
        <v>359</v>
      </c>
      <c r="L85">
        <v>1191</v>
      </c>
      <c r="N85">
        <v>1013</v>
      </c>
      <c r="O85" t="s">
        <v>357</v>
      </c>
      <c r="P85" t="s">
        <v>357</v>
      </c>
      <c r="Q85">
        <v>1</v>
      </c>
      <c r="X85">
        <v>0.16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202</v>
      </c>
      <c r="AG85">
        <v>0.4</v>
      </c>
      <c r="AH85">
        <v>2</v>
      </c>
      <c r="AI85">
        <v>55463747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ROW(Source!A101)</f>
        <v>101</v>
      </c>
      <c r="B86">
        <v>55463753</v>
      </c>
      <c r="C86">
        <v>55463745</v>
      </c>
      <c r="D86">
        <v>44976261</v>
      </c>
      <c r="E86">
        <v>1</v>
      </c>
      <c r="F86">
        <v>1</v>
      </c>
      <c r="G86">
        <v>1</v>
      </c>
      <c r="H86">
        <v>2</v>
      </c>
      <c r="I86" t="s">
        <v>419</v>
      </c>
      <c r="J86" t="s">
        <v>420</v>
      </c>
      <c r="K86" t="s">
        <v>421</v>
      </c>
      <c r="L86">
        <v>1368</v>
      </c>
      <c r="N86">
        <v>1011</v>
      </c>
      <c r="O86" t="s">
        <v>371</v>
      </c>
      <c r="P86" t="s">
        <v>371</v>
      </c>
      <c r="Q86">
        <v>1</v>
      </c>
      <c r="X86">
        <v>0.07</v>
      </c>
      <c r="Y86">
        <v>0</v>
      </c>
      <c r="Z86">
        <v>115.4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202</v>
      </c>
      <c r="AG86">
        <v>0.17500000000000002</v>
      </c>
      <c r="AH86">
        <v>2</v>
      </c>
      <c r="AI86">
        <v>55463748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ROW(Source!A101)</f>
        <v>101</v>
      </c>
      <c r="B87">
        <v>55463754</v>
      </c>
      <c r="C87">
        <v>55463745</v>
      </c>
      <c r="D87">
        <v>44977280</v>
      </c>
      <c r="E87">
        <v>1</v>
      </c>
      <c r="F87">
        <v>1</v>
      </c>
      <c r="G87">
        <v>1</v>
      </c>
      <c r="H87">
        <v>2</v>
      </c>
      <c r="I87" t="s">
        <v>390</v>
      </c>
      <c r="J87" t="s">
        <v>391</v>
      </c>
      <c r="K87" t="s">
        <v>392</v>
      </c>
      <c r="L87">
        <v>1368</v>
      </c>
      <c r="N87">
        <v>1011</v>
      </c>
      <c r="O87" t="s">
        <v>371</v>
      </c>
      <c r="P87" t="s">
        <v>371</v>
      </c>
      <c r="Q87">
        <v>1</v>
      </c>
      <c r="X87">
        <v>0.09</v>
      </c>
      <c r="Y87">
        <v>0</v>
      </c>
      <c r="Z87">
        <v>65.71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202</v>
      </c>
      <c r="AG87">
        <v>0.22499999999999998</v>
      </c>
      <c r="AH87">
        <v>2</v>
      </c>
      <c r="AI87">
        <v>55463749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ROW(Source!A101)</f>
        <v>101</v>
      </c>
      <c r="B88">
        <v>55463755</v>
      </c>
      <c r="C88">
        <v>55463745</v>
      </c>
      <c r="D88">
        <v>44802587</v>
      </c>
      <c r="E88">
        <v>54</v>
      </c>
      <c r="F88">
        <v>1</v>
      </c>
      <c r="G88">
        <v>1</v>
      </c>
      <c r="H88">
        <v>3</v>
      </c>
      <c r="I88" t="s">
        <v>460</v>
      </c>
      <c r="K88" t="s">
        <v>461</v>
      </c>
      <c r="L88">
        <v>1348</v>
      </c>
      <c r="N88">
        <v>1009</v>
      </c>
      <c r="O88" t="s">
        <v>36</v>
      </c>
      <c r="P88" t="s">
        <v>36</v>
      </c>
      <c r="Q88">
        <v>1000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201</v>
      </c>
      <c r="AG88">
        <v>0</v>
      </c>
      <c r="AH88">
        <v>3</v>
      </c>
      <c r="AI88">
        <v>-1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ROW(Source!A104)</f>
        <v>104</v>
      </c>
      <c r="B89">
        <v>55643344</v>
      </c>
      <c r="C89">
        <v>55643337</v>
      </c>
      <c r="D89">
        <v>37822896</v>
      </c>
      <c r="E89">
        <v>70</v>
      </c>
      <c r="F89">
        <v>1</v>
      </c>
      <c r="G89">
        <v>1</v>
      </c>
      <c r="H89">
        <v>1</v>
      </c>
      <c r="I89" t="s">
        <v>355</v>
      </c>
      <c r="K89" t="s">
        <v>356</v>
      </c>
      <c r="L89">
        <v>1191</v>
      </c>
      <c r="N89">
        <v>1013</v>
      </c>
      <c r="O89" t="s">
        <v>357</v>
      </c>
      <c r="P89" t="s">
        <v>357</v>
      </c>
      <c r="Q89">
        <v>1</v>
      </c>
      <c r="X89">
        <v>38.2</v>
      </c>
      <c r="Y89">
        <v>0</v>
      </c>
      <c r="Z89">
        <v>0</v>
      </c>
      <c r="AA89">
        <v>0</v>
      </c>
      <c r="AB89">
        <v>8.53</v>
      </c>
      <c r="AC89">
        <v>0</v>
      </c>
      <c r="AD89">
        <v>1</v>
      </c>
      <c r="AE89">
        <v>1</v>
      </c>
      <c r="AF89" t="s">
        <v>57</v>
      </c>
      <c r="AG89">
        <v>43.93</v>
      </c>
      <c r="AH89">
        <v>2</v>
      </c>
      <c r="AI89">
        <v>55643338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ROW(Source!A104)</f>
        <v>104</v>
      </c>
      <c r="B90">
        <v>55643345</v>
      </c>
      <c r="C90">
        <v>55643337</v>
      </c>
      <c r="D90">
        <v>37822850</v>
      </c>
      <c r="E90">
        <v>70</v>
      </c>
      <c r="F90">
        <v>1</v>
      </c>
      <c r="G90">
        <v>1</v>
      </c>
      <c r="H90">
        <v>1</v>
      </c>
      <c r="I90" t="s">
        <v>358</v>
      </c>
      <c r="K90" t="s">
        <v>359</v>
      </c>
      <c r="L90">
        <v>1191</v>
      </c>
      <c r="N90">
        <v>1013</v>
      </c>
      <c r="O90" t="s">
        <v>357</v>
      </c>
      <c r="P90" t="s">
        <v>357</v>
      </c>
      <c r="Q90">
        <v>1</v>
      </c>
      <c r="X90">
        <v>0.4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56</v>
      </c>
      <c r="AG90">
        <v>0.5</v>
      </c>
      <c r="AH90">
        <v>2</v>
      </c>
      <c r="AI90">
        <v>55643339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ROW(Source!A104)</f>
        <v>104</v>
      </c>
      <c r="B91">
        <v>55643346</v>
      </c>
      <c r="C91">
        <v>55643337</v>
      </c>
      <c r="D91">
        <v>53792927</v>
      </c>
      <c r="E91">
        <v>1</v>
      </c>
      <c r="F91">
        <v>1</v>
      </c>
      <c r="G91">
        <v>1</v>
      </c>
      <c r="H91">
        <v>2</v>
      </c>
      <c r="I91" t="s">
        <v>390</v>
      </c>
      <c r="J91" t="s">
        <v>391</v>
      </c>
      <c r="K91" t="s">
        <v>392</v>
      </c>
      <c r="L91">
        <v>1367</v>
      </c>
      <c r="N91">
        <v>1011</v>
      </c>
      <c r="O91" t="s">
        <v>363</v>
      </c>
      <c r="P91" t="s">
        <v>363</v>
      </c>
      <c r="Q91">
        <v>1</v>
      </c>
      <c r="X91">
        <v>0.4</v>
      </c>
      <c r="Y91">
        <v>0</v>
      </c>
      <c r="Z91">
        <v>65.71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56</v>
      </c>
      <c r="AG91">
        <v>0.5</v>
      </c>
      <c r="AH91">
        <v>2</v>
      </c>
      <c r="AI91">
        <v>55643340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ROW(Source!A104)</f>
        <v>104</v>
      </c>
      <c r="B92">
        <v>55643347</v>
      </c>
      <c r="C92">
        <v>55643337</v>
      </c>
      <c r="D92">
        <v>53642555</v>
      </c>
      <c r="E92">
        <v>1</v>
      </c>
      <c r="F92">
        <v>1</v>
      </c>
      <c r="G92">
        <v>1</v>
      </c>
      <c r="H92">
        <v>3</v>
      </c>
      <c r="I92" t="s">
        <v>411</v>
      </c>
      <c r="J92" t="s">
        <v>412</v>
      </c>
      <c r="K92" t="s">
        <v>413</v>
      </c>
      <c r="L92">
        <v>1339</v>
      </c>
      <c r="N92">
        <v>1007</v>
      </c>
      <c r="O92" t="s">
        <v>160</v>
      </c>
      <c r="P92" t="s">
        <v>160</v>
      </c>
      <c r="Q92">
        <v>1</v>
      </c>
      <c r="X92">
        <v>0.225</v>
      </c>
      <c r="Y92">
        <v>2.44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0.225</v>
      </c>
      <c r="AH92">
        <v>2</v>
      </c>
      <c r="AI92">
        <v>55643341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ROW(Source!A104)</f>
        <v>104</v>
      </c>
      <c r="B93">
        <v>55643348</v>
      </c>
      <c r="C93">
        <v>55643337</v>
      </c>
      <c r="D93">
        <v>53646147</v>
      </c>
      <c r="E93">
        <v>1</v>
      </c>
      <c r="F93">
        <v>1</v>
      </c>
      <c r="G93">
        <v>1</v>
      </c>
      <c r="H93">
        <v>3</v>
      </c>
      <c r="I93" t="s">
        <v>422</v>
      </c>
      <c r="J93" t="s">
        <v>423</v>
      </c>
      <c r="K93" t="s">
        <v>424</v>
      </c>
      <c r="L93">
        <v>1348</v>
      </c>
      <c r="N93">
        <v>1009</v>
      </c>
      <c r="O93" t="s">
        <v>36</v>
      </c>
      <c r="P93" t="s">
        <v>36</v>
      </c>
      <c r="Q93">
        <v>1000</v>
      </c>
      <c r="X93">
        <v>0.05</v>
      </c>
      <c r="Y93">
        <v>2734.6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0.05</v>
      </c>
      <c r="AH93">
        <v>2</v>
      </c>
      <c r="AI93">
        <v>55643342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ROW(Source!A104)</f>
        <v>104</v>
      </c>
      <c r="B94">
        <v>55643349</v>
      </c>
      <c r="C94">
        <v>55643337</v>
      </c>
      <c r="D94">
        <v>53631143</v>
      </c>
      <c r="E94">
        <v>70</v>
      </c>
      <c r="F94">
        <v>1</v>
      </c>
      <c r="G94">
        <v>1</v>
      </c>
      <c r="H94">
        <v>3</v>
      </c>
      <c r="I94" t="s">
        <v>462</v>
      </c>
      <c r="K94" t="s">
        <v>463</v>
      </c>
      <c r="L94">
        <v>1339</v>
      </c>
      <c r="N94">
        <v>1007</v>
      </c>
      <c r="O94" t="s">
        <v>160</v>
      </c>
      <c r="P94" t="s">
        <v>160</v>
      </c>
      <c r="Q94">
        <v>1</v>
      </c>
      <c r="X94">
        <v>3.1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G94">
        <v>3.1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ROW(Source!A105)</f>
        <v>105</v>
      </c>
      <c r="B95">
        <v>55643344</v>
      </c>
      <c r="C95">
        <v>55643337</v>
      </c>
      <c r="D95">
        <v>37822896</v>
      </c>
      <c r="E95">
        <v>70</v>
      </c>
      <c r="F95">
        <v>1</v>
      </c>
      <c r="G95">
        <v>1</v>
      </c>
      <c r="H95">
        <v>1</v>
      </c>
      <c r="I95" t="s">
        <v>355</v>
      </c>
      <c r="K95" t="s">
        <v>356</v>
      </c>
      <c r="L95">
        <v>1191</v>
      </c>
      <c r="N95">
        <v>1013</v>
      </c>
      <c r="O95" t="s">
        <v>357</v>
      </c>
      <c r="P95" t="s">
        <v>357</v>
      </c>
      <c r="Q95">
        <v>1</v>
      </c>
      <c r="X95">
        <v>38.2</v>
      </c>
      <c r="Y95">
        <v>0</v>
      </c>
      <c r="Z95">
        <v>0</v>
      </c>
      <c r="AA95">
        <v>0</v>
      </c>
      <c r="AB95">
        <v>8.53</v>
      </c>
      <c r="AC95">
        <v>0</v>
      </c>
      <c r="AD95">
        <v>1</v>
      </c>
      <c r="AE95">
        <v>1</v>
      </c>
      <c r="AF95" t="s">
        <v>57</v>
      </c>
      <c r="AG95">
        <v>43.93</v>
      </c>
      <c r="AH95">
        <v>2</v>
      </c>
      <c r="AI95">
        <v>55643338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ROW(Source!A105)</f>
        <v>105</v>
      </c>
      <c r="B96">
        <v>55643345</v>
      </c>
      <c r="C96">
        <v>55643337</v>
      </c>
      <c r="D96">
        <v>37822850</v>
      </c>
      <c r="E96">
        <v>70</v>
      </c>
      <c r="F96">
        <v>1</v>
      </c>
      <c r="G96">
        <v>1</v>
      </c>
      <c r="H96">
        <v>1</v>
      </c>
      <c r="I96" t="s">
        <v>358</v>
      </c>
      <c r="K96" t="s">
        <v>359</v>
      </c>
      <c r="L96">
        <v>1191</v>
      </c>
      <c r="N96">
        <v>1013</v>
      </c>
      <c r="O96" t="s">
        <v>357</v>
      </c>
      <c r="P96" t="s">
        <v>357</v>
      </c>
      <c r="Q96">
        <v>1</v>
      </c>
      <c r="X96">
        <v>0.4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2</v>
      </c>
      <c r="AF96" t="s">
        <v>56</v>
      </c>
      <c r="AG96">
        <v>0.5</v>
      </c>
      <c r="AH96">
        <v>2</v>
      </c>
      <c r="AI96">
        <v>55643339</v>
      </c>
      <c r="AJ96">
        <v>98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ROW(Source!A105)</f>
        <v>105</v>
      </c>
      <c r="B97">
        <v>55643346</v>
      </c>
      <c r="C97">
        <v>55643337</v>
      </c>
      <c r="D97">
        <v>53792927</v>
      </c>
      <c r="E97">
        <v>1</v>
      </c>
      <c r="F97">
        <v>1</v>
      </c>
      <c r="G97">
        <v>1</v>
      </c>
      <c r="H97">
        <v>2</v>
      </c>
      <c r="I97" t="s">
        <v>390</v>
      </c>
      <c r="J97" t="s">
        <v>391</v>
      </c>
      <c r="K97" t="s">
        <v>392</v>
      </c>
      <c r="L97">
        <v>1367</v>
      </c>
      <c r="N97">
        <v>1011</v>
      </c>
      <c r="O97" t="s">
        <v>363</v>
      </c>
      <c r="P97" t="s">
        <v>363</v>
      </c>
      <c r="Q97">
        <v>1</v>
      </c>
      <c r="X97">
        <v>0.4</v>
      </c>
      <c r="Y97">
        <v>0</v>
      </c>
      <c r="Z97">
        <v>65.71</v>
      </c>
      <c r="AA97">
        <v>11.6</v>
      </c>
      <c r="AB97">
        <v>0</v>
      </c>
      <c r="AC97">
        <v>0</v>
      </c>
      <c r="AD97">
        <v>1</v>
      </c>
      <c r="AE97">
        <v>0</v>
      </c>
      <c r="AF97" t="s">
        <v>56</v>
      </c>
      <c r="AG97">
        <v>0.5</v>
      </c>
      <c r="AH97">
        <v>2</v>
      </c>
      <c r="AI97">
        <v>55643340</v>
      </c>
      <c r="AJ97">
        <v>99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ROW(Source!A105)</f>
        <v>105</v>
      </c>
      <c r="B98">
        <v>55643347</v>
      </c>
      <c r="C98">
        <v>55643337</v>
      </c>
      <c r="D98">
        <v>53642555</v>
      </c>
      <c r="E98">
        <v>1</v>
      </c>
      <c r="F98">
        <v>1</v>
      </c>
      <c r="G98">
        <v>1</v>
      </c>
      <c r="H98">
        <v>3</v>
      </c>
      <c r="I98" t="s">
        <v>411</v>
      </c>
      <c r="J98" t="s">
        <v>412</v>
      </c>
      <c r="K98" t="s">
        <v>413</v>
      </c>
      <c r="L98">
        <v>1339</v>
      </c>
      <c r="N98">
        <v>1007</v>
      </c>
      <c r="O98" t="s">
        <v>160</v>
      </c>
      <c r="P98" t="s">
        <v>160</v>
      </c>
      <c r="Q98">
        <v>1</v>
      </c>
      <c r="X98">
        <v>0.225</v>
      </c>
      <c r="Y98">
        <v>2.44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0.225</v>
      </c>
      <c r="AH98">
        <v>2</v>
      </c>
      <c r="AI98">
        <v>55643341</v>
      </c>
      <c r="AJ98">
        <v>100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ROW(Source!A105)</f>
        <v>105</v>
      </c>
      <c r="B99">
        <v>55643348</v>
      </c>
      <c r="C99">
        <v>55643337</v>
      </c>
      <c r="D99">
        <v>53646147</v>
      </c>
      <c r="E99">
        <v>1</v>
      </c>
      <c r="F99">
        <v>1</v>
      </c>
      <c r="G99">
        <v>1</v>
      </c>
      <c r="H99">
        <v>3</v>
      </c>
      <c r="I99" t="s">
        <v>422</v>
      </c>
      <c r="J99" t="s">
        <v>423</v>
      </c>
      <c r="K99" t="s">
        <v>424</v>
      </c>
      <c r="L99">
        <v>1348</v>
      </c>
      <c r="N99">
        <v>1009</v>
      </c>
      <c r="O99" t="s">
        <v>36</v>
      </c>
      <c r="P99" t="s">
        <v>36</v>
      </c>
      <c r="Q99">
        <v>1000</v>
      </c>
      <c r="X99">
        <v>0.05</v>
      </c>
      <c r="Y99">
        <v>2734.6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0.05</v>
      </c>
      <c r="AH99">
        <v>2</v>
      </c>
      <c r="AI99">
        <v>55643342</v>
      </c>
      <c r="AJ99">
        <v>101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ROW(Source!A105)</f>
        <v>105</v>
      </c>
      <c r="B100">
        <v>55643349</v>
      </c>
      <c r="C100">
        <v>55643337</v>
      </c>
      <c r="D100">
        <v>53631143</v>
      </c>
      <c r="E100">
        <v>70</v>
      </c>
      <c r="F100">
        <v>1</v>
      </c>
      <c r="G100">
        <v>1</v>
      </c>
      <c r="H100">
        <v>3</v>
      </c>
      <c r="I100" t="s">
        <v>462</v>
      </c>
      <c r="K100" t="s">
        <v>463</v>
      </c>
      <c r="L100">
        <v>1339</v>
      </c>
      <c r="N100">
        <v>1007</v>
      </c>
      <c r="O100" t="s">
        <v>160</v>
      </c>
      <c r="P100" t="s">
        <v>160</v>
      </c>
      <c r="Q100">
        <v>1</v>
      </c>
      <c r="X100">
        <v>3.1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G100">
        <v>3.1</v>
      </c>
      <c r="AH100">
        <v>3</v>
      </c>
      <c r="AI100">
        <v>-1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ROW(Source!A108)</f>
        <v>108</v>
      </c>
      <c r="B101">
        <v>55463817</v>
      </c>
      <c r="C101">
        <v>55463808</v>
      </c>
      <c r="D101">
        <v>44800251</v>
      </c>
      <c r="E101">
        <v>54</v>
      </c>
      <c r="F101">
        <v>1</v>
      </c>
      <c r="G101">
        <v>1</v>
      </c>
      <c r="H101">
        <v>1</v>
      </c>
      <c r="I101" t="s">
        <v>425</v>
      </c>
      <c r="K101" t="s">
        <v>426</v>
      </c>
      <c r="L101">
        <v>1191</v>
      </c>
      <c r="N101">
        <v>1013</v>
      </c>
      <c r="O101" t="s">
        <v>357</v>
      </c>
      <c r="P101" t="s">
        <v>357</v>
      </c>
      <c r="Q101">
        <v>1</v>
      </c>
      <c r="X101">
        <v>69.8</v>
      </c>
      <c r="Y101">
        <v>0</v>
      </c>
      <c r="Z101">
        <v>0</v>
      </c>
      <c r="AA101">
        <v>0</v>
      </c>
      <c r="AB101">
        <v>8.46</v>
      </c>
      <c r="AC101">
        <v>0</v>
      </c>
      <c r="AD101">
        <v>1</v>
      </c>
      <c r="AE101">
        <v>1</v>
      </c>
      <c r="AF101" t="s">
        <v>57</v>
      </c>
      <c r="AG101">
        <v>80.27</v>
      </c>
      <c r="AH101">
        <v>2</v>
      </c>
      <c r="AI101">
        <v>55463809</v>
      </c>
      <c r="AJ101">
        <v>103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ROW(Source!A108)</f>
        <v>108</v>
      </c>
      <c r="B102">
        <v>55463818</v>
      </c>
      <c r="C102">
        <v>55463808</v>
      </c>
      <c r="D102">
        <v>44800452</v>
      </c>
      <c r="E102">
        <v>54</v>
      </c>
      <c r="F102">
        <v>1</v>
      </c>
      <c r="G102">
        <v>1</v>
      </c>
      <c r="H102">
        <v>1</v>
      </c>
      <c r="I102" t="s">
        <v>358</v>
      </c>
      <c r="K102" t="s">
        <v>359</v>
      </c>
      <c r="L102">
        <v>1191</v>
      </c>
      <c r="N102">
        <v>1013</v>
      </c>
      <c r="O102" t="s">
        <v>357</v>
      </c>
      <c r="P102" t="s">
        <v>357</v>
      </c>
      <c r="Q102">
        <v>1</v>
      </c>
      <c r="X102">
        <v>0.65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56</v>
      </c>
      <c r="AG102">
        <v>0.8125</v>
      </c>
      <c r="AH102">
        <v>2</v>
      </c>
      <c r="AI102">
        <v>55463810</v>
      </c>
      <c r="AJ102">
        <v>104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ROW(Source!A108)</f>
        <v>108</v>
      </c>
      <c r="B103">
        <v>55463819</v>
      </c>
      <c r="C103">
        <v>55463808</v>
      </c>
      <c r="D103">
        <v>44976261</v>
      </c>
      <c r="E103">
        <v>1</v>
      </c>
      <c r="F103">
        <v>1</v>
      </c>
      <c r="G103">
        <v>1</v>
      </c>
      <c r="H103">
        <v>2</v>
      </c>
      <c r="I103" t="s">
        <v>419</v>
      </c>
      <c r="J103" t="s">
        <v>420</v>
      </c>
      <c r="K103" t="s">
        <v>421</v>
      </c>
      <c r="L103">
        <v>1368</v>
      </c>
      <c r="N103">
        <v>1011</v>
      </c>
      <c r="O103" t="s">
        <v>371</v>
      </c>
      <c r="P103" t="s">
        <v>371</v>
      </c>
      <c r="Q103">
        <v>1</v>
      </c>
      <c r="X103">
        <v>0.61</v>
      </c>
      <c r="Y103">
        <v>0</v>
      </c>
      <c r="Z103">
        <v>115.4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56</v>
      </c>
      <c r="AG103">
        <v>0.7625</v>
      </c>
      <c r="AH103">
        <v>3</v>
      </c>
      <c r="AI103">
        <v>-1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ROW(Source!A108)</f>
        <v>108</v>
      </c>
      <c r="B104">
        <v>55463820</v>
      </c>
      <c r="C104">
        <v>55463808</v>
      </c>
      <c r="D104">
        <v>44977280</v>
      </c>
      <c r="E104">
        <v>1</v>
      </c>
      <c r="F104">
        <v>1</v>
      </c>
      <c r="G104">
        <v>1</v>
      </c>
      <c r="H104">
        <v>2</v>
      </c>
      <c r="I104" t="s">
        <v>390</v>
      </c>
      <c r="J104" t="s">
        <v>391</v>
      </c>
      <c r="K104" t="s">
        <v>392</v>
      </c>
      <c r="L104">
        <v>1368</v>
      </c>
      <c r="N104">
        <v>1011</v>
      </c>
      <c r="O104" t="s">
        <v>371</v>
      </c>
      <c r="P104" t="s">
        <v>371</v>
      </c>
      <c r="Q104">
        <v>1</v>
      </c>
      <c r="X104">
        <v>0.04</v>
      </c>
      <c r="Y104">
        <v>0</v>
      </c>
      <c r="Z104">
        <v>65.71</v>
      </c>
      <c r="AA104">
        <v>11.6</v>
      </c>
      <c r="AB104">
        <v>0</v>
      </c>
      <c r="AC104">
        <v>0</v>
      </c>
      <c r="AD104">
        <v>1</v>
      </c>
      <c r="AE104">
        <v>0</v>
      </c>
      <c r="AF104" t="s">
        <v>56</v>
      </c>
      <c r="AG104">
        <v>0.05</v>
      </c>
      <c r="AH104">
        <v>2</v>
      </c>
      <c r="AI104">
        <v>55463812</v>
      </c>
      <c r="AJ104">
        <v>106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ROW(Source!A108)</f>
        <v>108</v>
      </c>
      <c r="B105">
        <v>55463821</v>
      </c>
      <c r="C105">
        <v>55463808</v>
      </c>
      <c r="D105">
        <v>44815200</v>
      </c>
      <c r="E105">
        <v>1</v>
      </c>
      <c r="F105">
        <v>1</v>
      </c>
      <c r="G105">
        <v>1</v>
      </c>
      <c r="H105">
        <v>3</v>
      </c>
      <c r="I105" t="s">
        <v>430</v>
      </c>
      <c r="J105" t="s">
        <v>431</v>
      </c>
      <c r="K105" t="s">
        <v>432</v>
      </c>
      <c r="L105">
        <v>1348</v>
      </c>
      <c r="N105">
        <v>1009</v>
      </c>
      <c r="O105" t="s">
        <v>36</v>
      </c>
      <c r="P105" t="s">
        <v>36</v>
      </c>
      <c r="Q105">
        <v>1000</v>
      </c>
      <c r="X105">
        <v>0.001</v>
      </c>
      <c r="Y105">
        <v>11978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0.001</v>
      </c>
      <c r="AH105">
        <v>2</v>
      </c>
      <c r="AI105">
        <v>55463813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ROW(Source!A108)</f>
        <v>108</v>
      </c>
      <c r="B106">
        <v>55463822</v>
      </c>
      <c r="C106">
        <v>55463808</v>
      </c>
      <c r="D106">
        <v>44818336</v>
      </c>
      <c r="E106">
        <v>1</v>
      </c>
      <c r="F106">
        <v>1</v>
      </c>
      <c r="G106">
        <v>1</v>
      </c>
      <c r="H106">
        <v>3</v>
      </c>
      <c r="I106" t="s">
        <v>433</v>
      </c>
      <c r="J106" t="s">
        <v>434</v>
      </c>
      <c r="K106" t="s">
        <v>435</v>
      </c>
      <c r="L106">
        <v>1339</v>
      </c>
      <c r="N106">
        <v>1007</v>
      </c>
      <c r="O106" t="s">
        <v>160</v>
      </c>
      <c r="P106" t="s">
        <v>160</v>
      </c>
      <c r="Q106">
        <v>1</v>
      </c>
      <c r="X106">
        <v>3.9</v>
      </c>
      <c r="Y106">
        <v>592.76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3.9</v>
      </c>
      <c r="AH106">
        <v>2</v>
      </c>
      <c r="AI106">
        <v>55463814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ROW(Source!A108)</f>
        <v>108</v>
      </c>
      <c r="B107">
        <v>55463823</v>
      </c>
      <c r="C107">
        <v>55463808</v>
      </c>
      <c r="D107">
        <v>44818656</v>
      </c>
      <c r="E107">
        <v>1</v>
      </c>
      <c r="F107">
        <v>1</v>
      </c>
      <c r="G107">
        <v>1</v>
      </c>
      <c r="H107">
        <v>3</v>
      </c>
      <c r="I107" t="s">
        <v>158</v>
      </c>
      <c r="J107" t="s">
        <v>161</v>
      </c>
      <c r="K107" t="s">
        <v>159</v>
      </c>
      <c r="L107">
        <v>1339</v>
      </c>
      <c r="N107">
        <v>1007</v>
      </c>
      <c r="O107" t="s">
        <v>160</v>
      </c>
      <c r="P107" t="s">
        <v>160</v>
      </c>
      <c r="Q107">
        <v>1</v>
      </c>
      <c r="X107">
        <v>0.06</v>
      </c>
      <c r="Y107">
        <v>519.8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0.06</v>
      </c>
      <c r="AH107">
        <v>2</v>
      </c>
      <c r="AI107">
        <v>55463815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ROW(Source!A108)</f>
        <v>108</v>
      </c>
      <c r="B108">
        <v>55463824</v>
      </c>
      <c r="C108">
        <v>55463808</v>
      </c>
      <c r="D108">
        <v>44840450</v>
      </c>
      <c r="E108">
        <v>1</v>
      </c>
      <c r="F108">
        <v>1</v>
      </c>
      <c r="G108">
        <v>1</v>
      </c>
      <c r="H108">
        <v>3</v>
      </c>
      <c r="I108" t="s">
        <v>436</v>
      </c>
      <c r="J108" t="s">
        <v>437</v>
      </c>
      <c r="K108" t="s">
        <v>438</v>
      </c>
      <c r="L108">
        <v>1339</v>
      </c>
      <c r="N108">
        <v>1007</v>
      </c>
      <c r="O108" t="s">
        <v>160</v>
      </c>
      <c r="P108" t="s">
        <v>160</v>
      </c>
      <c r="Q108">
        <v>1</v>
      </c>
      <c r="X108">
        <v>0.17</v>
      </c>
      <c r="Y108">
        <v>880.01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0.17</v>
      </c>
      <c r="AH108">
        <v>2</v>
      </c>
      <c r="AI108">
        <v>55463816</v>
      </c>
      <c r="AJ108">
        <v>110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ROW(Source!A108)</f>
        <v>108</v>
      </c>
      <c r="B109">
        <v>55463825</v>
      </c>
      <c r="C109">
        <v>55463808</v>
      </c>
      <c r="D109">
        <v>44803283</v>
      </c>
      <c r="E109">
        <v>54</v>
      </c>
      <c r="F109">
        <v>1</v>
      </c>
      <c r="G109">
        <v>1</v>
      </c>
      <c r="H109">
        <v>3</v>
      </c>
      <c r="I109" t="s">
        <v>464</v>
      </c>
      <c r="K109" t="s">
        <v>465</v>
      </c>
      <c r="L109">
        <v>1301</v>
      </c>
      <c r="N109">
        <v>1003</v>
      </c>
      <c r="O109" t="s">
        <v>466</v>
      </c>
      <c r="P109" t="s">
        <v>466</v>
      </c>
      <c r="Q109">
        <v>1</v>
      </c>
      <c r="X109">
        <v>100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G109">
        <v>100</v>
      </c>
      <c r="AH109">
        <v>3</v>
      </c>
      <c r="AI109">
        <v>-1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ROW(Source!A109)</f>
        <v>109</v>
      </c>
      <c r="B110">
        <v>55463817</v>
      </c>
      <c r="C110">
        <v>55463808</v>
      </c>
      <c r="D110">
        <v>44800251</v>
      </c>
      <c r="E110">
        <v>54</v>
      </c>
      <c r="F110">
        <v>1</v>
      </c>
      <c r="G110">
        <v>1</v>
      </c>
      <c r="H110">
        <v>1</v>
      </c>
      <c r="I110" t="s">
        <v>425</v>
      </c>
      <c r="K110" t="s">
        <v>426</v>
      </c>
      <c r="L110">
        <v>1191</v>
      </c>
      <c r="N110">
        <v>1013</v>
      </c>
      <c r="O110" t="s">
        <v>357</v>
      </c>
      <c r="P110" t="s">
        <v>357</v>
      </c>
      <c r="Q110">
        <v>1</v>
      </c>
      <c r="X110">
        <v>69.8</v>
      </c>
      <c r="Y110">
        <v>0</v>
      </c>
      <c r="Z110">
        <v>0</v>
      </c>
      <c r="AA110">
        <v>0</v>
      </c>
      <c r="AB110">
        <v>8.46</v>
      </c>
      <c r="AC110">
        <v>0</v>
      </c>
      <c r="AD110">
        <v>1</v>
      </c>
      <c r="AE110">
        <v>1</v>
      </c>
      <c r="AF110" t="s">
        <v>57</v>
      </c>
      <c r="AG110">
        <v>80.27</v>
      </c>
      <c r="AH110">
        <v>2</v>
      </c>
      <c r="AI110">
        <v>55463809</v>
      </c>
      <c r="AJ110">
        <v>111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ROW(Source!A109)</f>
        <v>109</v>
      </c>
      <c r="B111">
        <v>55463818</v>
      </c>
      <c r="C111">
        <v>55463808</v>
      </c>
      <c r="D111">
        <v>44800452</v>
      </c>
      <c r="E111">
        <v>54</v>
      </c>
      <c r="F111">
        <v>1</v>
      </c>
      <c r="G111">
        <v>1</v>
      </c>
      <c r="H111">
        <v>1</v>
      </c>
      <c r="I111" t="s">
        <v>358</v>
      </c>
      <c r="K111" t="s">
        <v>359</v>
      </c>
      <c r="L111">
        <v>1191</v>
      </c>
      <c r="N111">
        <v>1013</v>
      </c>
      <c r="O111" t="s">
        <v>357</v>
      </c>
      <c r="P111" t="s">
        <v>357</v>
      </c>
      <c r="Q111">
        <v>1</v>
      </c>
      <c r="X111">
        <v>0.65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56</v>
      </c>
      <c r="AG111">
        <v>0.8125</v>
      </c>
      <c r="AH111">
        <v>2</v>
      </c>
      <c r="AI111">
        <v>55463810</v>
      </c>
      <c r="AJ111">
        <v>112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ROW(Source!A109)</f>
        <v>109</v>
      </c>
      <c r="B112">
        <v>55463819</v>
      </c>
      <c r="C112">
        <v>55463808</v>
      </c>
      <c r="D112">
        <v>44976261</v>
      </c>
      <c r="E112">
        <v>1</v>
      </c>
      <c r="F112">
        <v>1</v>
      </c>
      <c r="G112">
        <v>1</v>
      </c>
      <c r="H112">
        <v>2</v>
      </c>
      <c r="I112" t="s">
        <v>419</v>
      </c>
      <c r="J112" t="s">
        <v>420</v>
      </c>
      <c r="K112" t="s">
        <v>421</v>
      </c>
      <c r="L112">
        <v>1368</v>
      </c>
      <c r="N112">
        <v>1011</v>
      </c>
      <c r="O112" t="s">
        <v>371</v>
      </c>
      <c r="P112" t="s">
        <v>371</v>
      </c>
      <c r="Q112">
        <v>1</v>
      </c>
      <c r="X112">
        <v>0.61</v>
      </c>
      <c r="Y112">
        <v>0</v>
      </c>
      <c r="Z112">
        <v>115.4</v>
      </c>
      <c r="AA112">
        <v>13.5</v>
      </c>
      <c r="AB112">
        <v>0</v>
      </c>
      <c r="AC112">
        <v>0</v>
      </c>
      <c r="AD112">
        <v>1</v>
      </c>
      <c r="AE112">
        <v>0</v>
      </c>
      <c r="AF112" t="s">
        <v>56</v>
      </c>
      <c r="AG112">
        <v>0.7625</v>
      </c>
      <c r="AH112">
        <v>3</v>
      </c>
      <c r="AI112">
        <v>-1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ROW(Source!A109)</f>
        <v>109</v>
      </c>
      <c r="B113">
        <v>55463820</v>
      </c>
      <c r="C113">
        <v>55463808</v>
      </c>
      <c r="D113">
        <v>44977280</v>
      </c>
      <c r="E113">
        <v>1</v>
      </c>
      <c r="F113">
        <v>1</v>
      </c>
      <c r="G113">
        <v>1</v>
      </c>
      <c r="H113">
        <v>2</v>
      </c>
      <c r="I113" t="s">
        <v>390</v>
      </c>
      <c r="J113" t="s">
        <v>391</v>
      </c>
      <c r="K113" t="s">
        <v>392</v>
      </c>
      <c r="L113">
        <v>1368</v>
      </c>
      <c r="N113">
        <v>1011</v>
      </c>
      <c r="O113" t="s">
        <v>371</v>
      </c>
      <c r="P113" t="s">
        <v>371</v>
      </c>
      <c r="Q113">
        <v>1</v>
      </c>
      <c r="X113">
        <v>0.04</v>
      </c>
      <c r="Y113">
        <v>0</v>
      </c>
      <c r="Z113">
        <v>65.71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56</v>
      </c>
      <c r="AG113">
        <v>0.05</v>
      </c>
      <c r="AH113">
        <v>2</v>
      </c>
      <c r="AI113">
        <v>55463812</v>
      </c>
      <c r="AJ113">
        <v>114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ROW(Source!A109)</f>
        <v>109</v>
      </c>
      <c r="B114">
        <v>55463821</v>
      </c>
      <c r="C114">
        <v>55463808</v>
      </c>
      <c r="D114">
        <v>44815200</v>
      </c>
      <c r="E114">
        <v>1</v>
      </c>
      <c r="F114">
        <v>1</v>
      </c>
      <c r="G114">
        <v>1</v>
      </c>
      <c r="H114">
        <v>3</v>
      </c>
      <c r="I114" t="s">
        <v>430</v>
      </c>
      <c r="J114" t="s">
        <v>431</v>
      </c>
      <c r="K114" t="s">
        <v>432</v>
      </c>
      <c r="L114">
        <v>1348</v>
      </c>
      <c r="N114">
        <v>1009</v>
      </c>
      <c r="O114" t="s">
        <v>36</v>
      </c>
      <c r="P114" t="s">
        <v>36</v>
      </c>
      <c r="Q114">
        <v>1000</v>
      </c>
      <c r="X114">
        <v>0.001</v>
      </c>
      <c r="Y114">
        <v>11978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0.001</v>
      </c>
      <c r="AH114">
        <v>2</v>
      </c>
      <c r="AI114">
        <v>55463813</v>
      </c>
      <c r="AJ114">
        <v>115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ROW(Source!A109)</f>
        <v>109</v>
      </c>
      <c r="B115">
        <v>55463822</v>
      </c>
      <c r="C115">
        <v>55463808</v>
      </c>
      <c r="D115">
        <v>44818336</v>
      </c>
      <c r="E115">
        <v>1</v>
      </c>
      <c r="F115">
        <v>1</v>
      </c>
      <c r="G115">
        <v>1</v>
      </c>
      <c r="H115">
        <v>3</v>
      </c>
      <c r="I115" t="s">
        <v>433</v>
      </c>
      <c r="J115" t="s">
        <v>434</v>
      </c>
      <c r="K115" t="s">
        <v>435</v>
      </c>
      <c r="L115">
        <v>1339</v>
      </c>
      <c r="N115">
        <v>1007</v>
      </c>
      <c r="O115" t="s">
        <v>160</v>
      </c>
      <c r="P115" t="s">
        <v>160</v>
      </c>
      <c r="Q115">
        <v>1</v>
      </c>
      <c r="X115">
        <v>3.9</v>
      </c>
      <c r="Y115">
        <v>592.76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3.9</v>
      </c>
      <c r="AH115">
        <v>2</v>
      </c>
      <c r="AI115">
        <v>55463814</v>
      </c>
      <c r="AJ115">
        <v>116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ROW(Source!A109)</f>
        <v>109</v>
      </c>
      <c r="B116">
        <v>55463823</v>
      </c>
      <c r="C116">
        <v>55463808</v>
      </c>
      <c r="D116">
        <v>44818656</v>
      </c>
      <c r="E116">
        <v>1</v>
      </c>
      <c r="F116">
        <v>1</v>
      </c>
      <c r="G116">
        <v>1</v>
      </c>
      <c r="H116">
        <v>3</v>
      </c>
      <c r="I116" t="s">
        <v>158</v>
      </c>
      <c r="J116" t="s">
        <v>161</v>
      </c>
      <c r="K116" t="s">
        <v>159</v>
      </c>
      <c r="L116">
        <v>1339</v>
      </c>
      <c r="N116">
        <v>1007</v>
      </c>
      <c r="O116" t="s">
        <v>160</v>
      </c>
      <c r="P116" t="s">
        <v>160</v>
      </c>
      <c r="Q116">
        <v>1</v>
      </c>
      <c r="X116">
        <v>0.06</v>
      </c>
      <c r="Y116">
        <v>519.8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0.06</v>
      </c>
      <c r="AH116">
        <v>2</v>
      </c>
      <c r="AI116">
        <v>55463815</v>
      </c>
      <c r="AJ116">
        <v>117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ROW(Source!A109)</f>
        <v>109</v>
      </c>
      <c r="B117">
        <v>55463824</v>
      </c>
      <c r="C117">
        <v>55463808</v>
      </c>
      <c r="D117">
        <v>44840450</v>
      </c>
      <c r="E117">
        <v>1</v>
      </c>
      <c r="F117">
        <v>1</v>
      </c>
      <c r="G117">
        <v>1</v>
      </c>
      <c r="H117">
        <v>3</v>
      </c>
      <c r="I117" t="s">
        <v>436</v>
      </c>
      <c r="J117" t="s">
        <v>437</v>
      </c>
      <c r="K117" t="s">
        <v>438</v>
      </c>
      <c r="L117">
        <v>1339</v>
      </c>
      <c r="N117">
        <v>1007</v>
      </c>
      <c r="O117" t="s">
        <v>160</v>
      </c>
      <c r="P117" t="s">
        <v>160</v>
      </c>
      <c r="Q117">
        <v>1</v>
      </c>
      <c r="X117">
        <v>0.17</v>
      </c>
      <c r="Y117">
        <v>880.01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0.17</v>
      </c>
      <c r="AH117">
        <v>2</v>
      </c>
      <c r="AI117">
        <v>55463816</v>
      </c>
      <c r="AJ117">
        <v>118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ROW(Source!A109)</f>
        <v>109</v>
      </c>
      <c r="B118">
        <v>55463825</v>
      </c>
      <c r="C118">
        <v>55463808</v>
      </c>
      <c r="D118">
        <v>44803283</v>
      </c>
      <c r="E118">
        <v>54</v>
      </c>
      <c r="F118">
        <v>1</v>
      </c>
      <c r="G118">
        <v>1</v>
      </c>
      <c r="H118">
        <v>3</v>
      </c>
      <c r="I118" t="s">
        <v>464</v>
      </c>
      <c r="K118" t="s">
        <v>465</v>
      </c>
      <c r="L118">
        <v>1301</v>
      </c>
      <c r="N118">
        <v>1003</v>
      </c>
      <c r="O118" t="s">
        <v>466</v>
      </c>
      <c r="P118" t="s">
        <v>466</v>
      </c>
      <c r="Q118">
        <v>1</v>
      </c>
      <c r="X118">
        <v>100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G118">
        <v>100</v>
      </c>
      <c r="AH118">
        <v>3</v>
      </c>
      <c r="AI118">
        <v>-1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ROW(Source!A110)</f>
        <v>110</v>
      </c>
      <c r="B119">
        <v>55463837</v>
      </c>
      <c r="C119">
        <v>55463826</v>
      </c>
      <c r="D119">
        <v>44800259</v>
      </c>
      <c r="E119">
        <v>54</v>
      </c>
      <c r="F119">
        <v>1</v>
      </c>
      <c r="G119">
        <v>1</v>
      </c>
      <c r="H119">
        <v>1</v>
      </c>
      <c r="I119" t="s">
        <v>439</v>
      </c>
      <c r="K119" t="s">
        <v>440</v>
      </c>
      <c r="L119">
        <v>1191</v>
      </c>
      <c r="N119">
        <v>1013</v>
      </c>
      <c r="O119" t="s">
        <v>357</v>
      </c>
      <c r="P119" t="s">
        <v>357</v>
      </c>
      <c r="Q119">
        <v>1</v>
      </c>
      <c r="X119">
        <v>171.73</v>
      </c>
      <c r="Y119">
        <v>0</v>
      </c>
      <c r="Z119">
        <v>0</v>
      </c>
      <c r="AA119">
        <v>0</v>
      </c>
      <c r="AB119">
        <v>8.86</v>
      </c>
      <c r="AC119">
        <v>0</v>
      </c>
      <c r="AD119">
        <v>1</v>
      </c>
      <c r="AE119">
        <v>1</v>
      </c>
      <c r="AF119" t="s">
        <v>57</v>
      </c>
      <c r="AG119">
        <v>197.48949999999996</v>
      </c>
      <c r="AH119">
        <v>2</v>
      </c>
      <c r="AI119">
        <v>55463827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ROW(Source!A110)</f>
        <v>110</v>
      </c>
      <c r="B120">
        <v>55463838</v>
      </c>
      <c r="C120">
        <v>55463826</v>
      </c>
      <c r="D120">
        <v>44800452</v>
      </c>
      <c r="E120">
        <v>54</v>
      </c>
      <c r="F120">
        <v>1</v>
      </c>
      <c r="G120">
        <v>1</v>
      </c>
      <c r="H120">
        <v>1</v>
      </c>
      <c r="I120" t="s">
        <v>358</v>
      </c>
      <c r="K120" t="s">
        <v>359</v>
      </c>
      <c r="L120">
        <v>1191</v>
      </c>
      <c r="N120">
        <v>1013</v>
      </c>
      <c r="O120" t="s">
        <v>357</v>
      </c>
      <c r="P120" t="s">
        <v>357</v>
      </c>
      <c r="Q120">
        <v>1</v>
      </c>
      <c r="X120">
        <v>5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56</v>
      </c>
      <c r="AG120">
        <v>6.25</v>
      </c>
      <c r="AH120">
        <v>2</v>
      </c>
      <c r="AI120">
        <v>55463828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ROW(Source!A110)</f>
        <v>110</v>
      </c>
      <c r="B121">
        <v>55463839</v>
      </c>
      <c r="C121">
        <v>55463826</v>
      </c>
      <c r="D121">
        <v>44976424</v>
      </c>
      <c r="E121">
        <v>1</v>
      </c>
      <c r="F121">
        <v>1</v>
      </c>
      <c r="G121">
        <v>1</v>
      </c>
      <c r="H121">
        <v>2</v>
      </c>
      <c r="I121" t="s">
        <v>441</v>
      </c>
      <c r="J121" t="s">
        <v>442</v>
      </c>
      <c r="K121" t="s">
        <v>443</v>
      </c>
      <c r="L121">
        <v>1368</v>
      </c>
      <c r="N121">
        <v>1011</v>
      </c>
      <c r="O121" t="s">
        <v>371</v>
      </c>
      <c r="P121" t="s">
        <v>371</v>
      </c>
      <c r="Q121">
        <v>1</v>
      </c>
      <c r="X121">
        <v>1.33</v>
      </c>
      <c r="Y121">
        <v>0</v>
      </c>
      <c r="Z121">
        <v>76.7</v>
      </c>
      <c r="AA121">
        <v>10.06</v>
      </c>
      <c r="AB121">
        <v>0</v>
      </c>
      <c r="AC121">
        <v>0</v>
      </c>
      <c r="AD121">
        <v>1</v>
      </c>
      <c r="AE121">
        <v>0</v>
      </c>
      <c r="AF121" t="s">
        <v>56</v>
      </c>
      <c r="AG121">
        <v>1.6625</v>
      </c>
      <c r="AH121">
        <v>2</v>
      </c>
      <c r="AI121">
        <v>55463829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ROW(Source!A110)</f>
        <v>110</v>
      </c>
      <c r="B122">
        <v>55463840</v>
      </c>
      <c r="C122">
        <v>55463826</v>
      </c>
      <c r="D122">
        <v>44976785</v>
      </c>
      <c r="E122">
        <v>1</v>
      </c>
      <c r="F122">
        <v>1</v>
      </c>
      <c r="G122">
        <v>1</v>
      </c>
      <c r="H122">
        <v>2</v>
      </c>
      <c r="I122" t="s">
        <v>444</v>
      </c>
      <c r="J122" t="s">
        <v>445</v>
      </c>
      <c r="K122" t="s">
        <v>446</v>
      </c>
      <c r="L122">
        <v>1368</v>
      </c>
      <c r="N122">
        <v>1011</v>
      </c>
      <c r="O122" t="s">
        <v>371</v>
      </c>
      <c r="P122" t="s">
        <v>371</v>
      </c>
      <c r="Q122">
        <v>1</v>
      </c>
      <c r="X122">
        <v>3.07</v>
      </c>
      <c r="Y122">
        <v>0</v>
      </c>
      <c r="Z122">
        <v>60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56</v>
      </c>
      <c r="AG122">
        <v>3.8375</v>
      </c>
      <c r="AH122">
        <v>2</v>
      </c>
      <c r="AI122">
        <v>55463830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ROW(Source!A110)</f>
        <v>110</v>
      </c>
      <c r="B123">
        <v>55463841</v>
      </c>
      <c r="C123">
        <v>55463826</v>
      </c>
      <c r="D123">
        <v>44977227</v>
      </c>
      <c r="E123">
        <v>1</v>
      </c>
      <c r="F123">
        <v>1</v>
      </c>
      <c r="G123">
        <v>1</v>
      </c>
      <c r="H123">
        <v>2</v>
      </c>
      <c r="I123" t="s">
        <v>447</v>
      </c>
      <c r="J123" t="s">
        <v>448</v>
      </c>
      <c r="K123" t="s">
        <v>449</v>
      </c>
      <c r="L123">
        <v>1368</v>
      </c>
      <c r="N123">
        <v>1011</v>
      </c>
      <c r="O123" t="s">
        <v>371</v>
      </c>
      <c r="P123" t="s">
        <v>371</v>
      </c>
      <c r="Q123">
        <v>1</v>
      </c>
      <c r="X123">
        <v>0.87</v>
      </c>
      <c r="Y123">
        <v>0</v>
      </c>
      <c r="Z123">
        <v>110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56</v>
      </c>
      <c r="AG123">
        <v>1.0875</v>
      </c>
      <c r="AH123">
        <v>2</v>
      </c>
      <c r="AI123">
        <v>55463831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ROW(Source!A110)</f>
        <v>110</v>
      </c>
      <c r="B124">
        <v>55463842</v>
      </c>
      <c r="C124">
        <v>55463826</v>
      </c>
      <c r="D124">
        <v>44977280</v>
      </c>
      <c r="E124">
        <v>1</v>
      </c>
      <c r="F124">
        <v>1</v>
      </c>
      <c r="G124">
        <v>1</v>
      </c>
      <c r="H124">
        <v>2</v>
      </c>
      <c r="I124" t="s">
        <v>390</v>
      </c>
      <c r="J124" t="s">
        <v>391</v>
      </c>
      <c r="K124" t="s">
        <v>392</v>
      </c>
      <c r="L124">
        <v>1368</v>
      </c>
      <c r="N124">
        <v>1011</v>
      </c>
      <c r="O124" t="s">
        <v>371</v>
      </c>
      <c r="P124" t="s">
        <v>371</v>
      </c>
      <c r="Q124">
        <v>1</v>
      </c>
      <c r="X124">
        <v>2.8</v>
      </c>
      <c r="Y124">
        <v>0</v>
      </c>
      <c r="Z124">
        <v>65.71</v>
      </c>
      <c r="AA124">
        <v>11.6</v>
      </c>
      <c r="AB124">
        <v>0</v>
      </c>
      <c r="AC124">
        <v>0</v>
      </c>
      <c r="AD124">
        <v>1</v>
      </c>
      <c r="AE124">
        <v>0</v>
      </c>
      <c r="AF124" t="s">
        <v>56</v>
      </c>
      <c r="AG124">
        <v>3.5</v>
      </c>
      <c r="AH124">
        <v>2</v>
      </c>
      <c r="AI124">
        <v>55463832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ROW(Source!A110)</f>
        <v>110</v>
      </c>
      <c r="B125">
        <v>55463843</v>
      </c>
      <c r="C125">
        <v>55463826</v>
      </c>
      <c r="D125">
        <v>44812337</v>
      </c>
      <c r="E125">
        <v>1</v>
      </c>
      <c r="F125">
        <v>1</v>
      </c>
      <c r="G125">
        <v>1</v>
      </c>
      <c r="H125">
        <v>3</v>
      </c>
      <c r="I125" t="s">
        <v>411</v>
      </c>
      <c r="J125" t="s">
        <v>412</v>
      </c>
      <c r="K125" t="s">
        <v>413</v>
      </c>
      <c r="L125">
        <v>1339</v>
      </c>
      <c r="N125">
        <v>1007</v>
      </c>
      <c r="O125" t="s">
        <v>160</v>
      </c>
      <c r="P125" t="s">
        <v>160</v>
      </c>
      <c r="Q125">
        <v>1</v>
      </c>
      <c r="X125">
        <v>1.07</v>
      </c>
      <c r="Y125">
        <v>2.44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1.07</v>
      </c>
      <c r="AH125">
        <v>2</v>
      </c>
      <c r="AI125">
        <v>55463833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ROW(Source!A110)</f>
        <v>110</v>
      </c>
      <c r="B126">
        <v>55463844</v>
      </c>
      <c r="C126">
        <v>55463826</v>
      </c>
      <c r="D126">
        <v>44801383</v>
      </c>
      <c r="E126">
        <v>54</v>
      </c>
      <c r="F126">
        <v>1</v>
      </c>
      <c r="G126">
        <v>1</v>
      </c>
      <c r="H126">
        <v>3</v>
      </c>
      <c r="I126" t="s">
        <v>467</v>
      </c>
      <c r="K126" t="s">
        <v>468</v>
      </c>
      <c r="L126">
        <v>1348</v>
      </c>
      <c r="N126">
        <v>1009</v>
      </c>
      <c r="O126" t="s">
        <v>36</v>
      </c>
      <c r="P126" t="s">
        <v>36</v>
      </c>
      <c r="Q126">
        <v>1000</v>
      </c>
      <c r="X126">
        <v>9.71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G126">
        <v>9.71</v>
      </c>
      <c r="AH126">
        <v>3</v>
      </c>
      <c r="AI126">
        <v>-1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ROW(Source!A110)</f>
        <v>110</v>
      </c>
      <c r="B127">
        <v>55463845</v>
      </c>
      <c r="C127">
        <v>55463826</v>
      </c>
      <c r="D127">
        <v>44803293</v>
      </c>
      <c r="E127">
        <v>54</v>
      </c>
      <c r="F127">
        <v>1</v>
      </c>
      <c r="G127">
        <v>1</v>
      </c>
      <c r="H127">
        <v>3</v>
      </c>
      <c r="I127" t="s">
        <v>469</v>
      </c>
      <c r="K127" t="s">
        <v>470</v>
      </c>
      <c r="L127">
        <v>1327</v>
      </c>
      <c r="N127">
        <v>1005</v>
      </c>
      <c r="O127" t="s">
        <v>165</v>
      </c>
      <c r="P127" t="s">
        <v>165</v>
      </c>
      <c r="Q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</v>
      </c>
      <c r="AD127">
        <v>0</v>
      </c>
      <c r="AE127">
        <v>0</v>
      </c>
      <c r="AG127">
        <v>0</v>
      </c>
      <c r="AH127">
        <v>3</v>
      </c>
      <c r="AI127">
        <v>-1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ROW(Source!A111)</f>
        <v>111</v>
      </c>
      <c r="B128">
        <v>55463837</v>
      </c>
      <c r="C128">
        <v>55463826</v>
      </c>
      <c r="D128">
        <v>44800259</v>
      </c>
      <c r="E128">
        <v>54</v>
      </c>
      <c r="F128">
        <v>1</v>
      </c>
      <c r="G128">
        <v>1</v>
      </c>
      <c r="H128">
        <v>1</v>
      </c>
      <c r="I128" t="s">
        <v>439</v>
      </c>
      <c r="K128" t="s">
        <v>440</v>
      </c>
      <c r="L128">
        <v>1191</v>
      </c>
      <c r="N128">
        <v>1013</v>
      </c>
      <c r="O128" t="s">
        <v>357</v>
      </c>
      <c r="P128" t="s">
        <v>357</v>
      </c>
      <c r="Q128">
        <v>1</v>
      </c>
      <c r="X128">
        <v>171.73</v>
      </c>
      <c r="Y128">
        <v>0</v>
      </c>
      <c r="Z128">
        <v>0</v>
      </c>
      <c r="AA128">
        <v>0</v>
      </c>
      <c r="AB128">
        <v>8.86</v>
      </c>
      <c r="AC128">
        <v>0</v>
      </c>
      <c r="AD128">
        <v>1</v>
      </c>
      <c r="AE128">
        <v>1</v>
      </c>
      <c r="AF128" t="s">
        <v>57</v>
      </c>
      <c r="AG128">
        <v>197.48949999999996</v>
      </c>
      <c r="AH128">
        <v>2</v>
      </c>
      <c r="AI128">
        <v>55463827</v>
      </c>
      <c r="AJ128">
        <v>129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ROW(Source!A111)</f>
        <v>111</v>
      </c>
      <c r="B129">
        <v>55463838</v>
      </c>
      <c r="C129">
        <v>55463826</v>
      </c>
      <c r="D129">
        <v>44800452</v>
      </c>
      <c r="E129">
        <v>54</v>
      </c>
      <c r="F129">
        <v>1</v>
      </c>
      <c r="G129">
        <v>1</v>
      </c>
      <c r="H129">
        <v>1</v>
      </c>
      <c r="I129" t="s">
        <v>358</v>
      </c>
      <c r="K129" t="s">
        <v>359</v>
      </c>
      <c r="L129">
        <v>1191</v>
      </c>
      <c r="N129">
        <v>1013</v>
      </c>
      <c r="O129" t="s">
        <v>357</v>
      </c>
      <c r="P129" t="s">
        <v>357</v>
      </c>
      <c r="Q129">
        <v>1</v>
      </c>
      <c r="X129">
        <v>5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56</v>
      </c>
      <c r="AG129">
        <v>6.25</v>
      </c>
      <c r="AH129">
        <v>2</v>
      </c>
      <c r="AI129">
        <v>55463828</v>
      </c>
      <c r="AJ129">
        <v>130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ROW(Source!A111)</f>
        <v>111</v>
      </c>
      <c r="B130">
        <v>55463839</v>
      </c>
      <c r="C130">
        <v>55463826</v>
      </c>
      <c r="D130">
        <v>44976424</v>
      </c>
      <c r="E130">
        <v>1</v>
      </c>
      <c r="F130">
        <v>1</v>
      </c>
      <c r="G130">
        <v>1</v>
      </c>
      <c r="H130">
        <v>2</v>
      </c>
      <c r="I130" t="s">
        <v>441</v>
      </c>
      <c r="J130" t="s">
        <v>442</v>
      </c>
      <c r="K130" t="s">
        <v>443</v>
      </c>
      <c r="L130">
        <v>1368</v>
      </c>
      <c r="N130">
        <v>1011</v>
      </c>
      <c r="O130" t="s">
        <v>371</v>
      </c>
      <c r="P130" t="s">
        <v>371</v>
      </c>
      <c r="Q130">
        <v>1</v>
      </c>
      <c r="X130">
        <v>1.33</v>
      </c>
      <c r="Y130">
        <v>0</v>
      </c>
      <c r="Z130">
        <v>76.7</v>
      </c>
      <c r="AA130">
        <v>10.06</v>
      </c>
      <c r="AB130">
        <v>0</v>
      </c>
      <c r="AC130">
        <v>0</v>
      </c>
      <c r="AD130">
        <v>1</v>
      </c>
      <c r="AE130">
        <v>0</v>
      </c>
      <c r="AF130" t="s">
        <v>56</v>
      </c>
      <c r="AG130">
        <v>1.6625</v>
      </c>
      <c r="AH130">
        <v>2</v>
      </c>
      <c r="AI130">
        <v>55463829</v>
      </c>
      <c r="AJ130">
        <v>131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ROW(Source!A111)</f>
        <v>111</v>
      </c>
      <c r="B131">
        <v>55463840</v>
      </c>
      <c r="C131">
        <v>55463826</v>
      </c>
      <c r="D131">
        <v>44976785</v>
      </c>
      <c r="E131">
        <v>1</v>
      </c>
      <c r="F131">
        <v>1</v>
      </c>
      <c r="G131">
        <v>1</v>
      </c>
      <c r="H131">
        <v>2</v>
      </c>
      <c r="I131" t="s">
        <v>444</v>
      </c>
      <c r="J131" t="s">
        <v>445</v>
      </c>
      <c r="K131" t="s">
        <v>446</v>
      </c>
      <c r="L131">
        <v>1368</v>
      </c>
      <c r="N131">
        <v>1011</v>
      </c>
      <c r="O131" t="s">
        <v>371</v>
      </c>
      <c r="P131" t="s">
        <v>371</v>
      </c>
      <c r="Q131">
        <v>1</v>
      </c>
      <c r="X131">
        <v>3.07</v>
      </c>
      <c r="Y131">
        <v>0</v>
      </c>
      <c r="Z131">
        <v>60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56</v>
      </c>
      <c r="AG131">
        <v>3.8375</v>
      </c>
      <c r="AH131">
        <v>2</v>
      </c>
      <c r="AI131">
        <v>55463830</v>
      </c>
      <c r="AJ131">
        <v>132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ROW(Source!A111)</f>
        <v>111</v>
      </c>
      <c r="B132">
        <v>55463841</v>
      </c>
      <c r="C132">
        <v>55463826</v>
      </c>
      <c r="D132">
        <v>44977227</v>
      </c>
      <c r="E132">
        <v>1</v>
      </c>
      <c r="F132">
        <v>1</v>
      </c>
      <c r="G132">
        <v>1</v>
      </c>
      <c r="H132">
        <v>2</v>
      </c>
      <c r="I132" t="s">
        <v>447</v>
      </c>
      <c r="J132" t="s">
        <v>448</v>
      </c>
      <c r="K132" t="s">
        <v>449</v>
      </c>
      <c r="L132">
        <v>1368</v>
      </c>
      <c r="N132">
        <v>1011</v>
      </c>
      <c r="O132" t="s">
        <v>371</v>
      </c>
      <c r="P132" t="s">
        <v>371</v>
      </c>
      <c r="Q132">
        <v>1</v>
      </c>
      <c r="X132">
        <v>0.87</v>
      </c>
      <c r="Y132">
        <v>0</v>
      </c>
      <c r="Z132">
        <v>110</v>
      </c>
      <c r="AA132">
        <v>11.6</v>
      </c>
      <c r="AB132">
        <v>0</v>
      </c>
      <c r="AC132">
        <v>0</v>
      </c>
      <c r="AD132">
        <v>1</v>
      </c>
      <c r="AE132">
        <v>0</v>
      </c>
      <c r="AF132" t="s">
        <v>56</v>
      </c>
      <c r="AG132">
        <v>1.0875</v>
      </c>
      <c r="AH132">
        <v>2</v>
      </c>
      <c r="AI132">
        <v>55463831</v>
      </c>
      <c r="AJ132">
        <v>133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ROW(Source!A111)</f>
        <v>111</v>
      </c>
      <c r="B133">
        <v>55463842</v>
      </c>
      <c r="C133">
        <v>55463826</v>
      </c>
      <c r="D133">
        <v>44977280</v>
      </c>
      <c r="E133">
        <v>1</v>
      </c>
      <c r="F133">
        <v>1</v>
      </c>
      <c r="G133">
        <v>1</v>
      </c>
      <c r="H133">
        <v>2</v>
      </c>
      <c r="I133" t="s">
        <v>390</v>
      </c>
      <c r="J133" t="s">
        <v>391</v>
      </c>
      <c r="K133" t="s">
        <v>392</v>
      </c>
      <c r="L133">
        <v>1368</v>
      </c>
      <c r="N133">
        <v>1011</v>
      </c>
      <c r="O133" t="s">
        <v>371</v>
      </c>
      <c r="P133" t="s">
        <v>371</v>
      </c>
      <c r="Q133">
        <v>1</v>
      </c>
      <c r="X133">
        <v>2.8</v>
      </c>
      <c r="Y133">
        <v>0</v>
      </c>
      <c r="Z133">
        <v>65.71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56</v>
      </c>
      <c r="AG133">
        <v>3.5</v>
      </c>
      <c r="AH133">
        <v>2</v>
      </c>
      <c r="AI133">
        <v>55463832</v>
      </c>
      <c r="AJ133">
        <v>134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ROW(Source!A111)</f>
        <v>111</v>
      </c>
      <c r="B134">
        <v>55463843</v>
      </c>
      <c r="C134">
        <v>55463826</v>
      </c>
      <c r="D134">
        <v>44812337</v>
      </c>
      <c r="E134">
        <v>1</v>
      </c>
      <c r="F134">
        <v>1</v>
      </c>
      <c r="G134">
        <v>1</v>
      </c>
      <c r="H134">
        <v>3</v>
      </c>
      <c r="I134" t="s">
        <v>411</v>
      </c>
      <c r="J134" t="s">
        <v>412</v>
      </c>
      <c r="K134" t="s">
        <v>413</v>
      </c>
      <c r="L134">
        <v>1339</v>
      </c>
      <c r="N134">
        <v>1007</v>
      </c>
      <c r="O134" t="s">
        <v>160</v>
      </c>
      <c r="P134" t="s">
        <v>160</v>
      </c>
      <c r="Q134">
        <v>1</v>
      </c>
      <c r="X134">
        <v>1.07</v>
      </c>
      <c r="Y134">
        <v>2.44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1.07</v>
      </c>
      <c r="AH134">
        <v>2</v>
      </c>
      <c r="AI134">
        <v>55463833</v>
      </c>
      <c r="AJ134">
        <v>135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ROW(Source!A111)</f>
        <v>111</v>
      </c>
      <c r="B135">
        <v>55463844</v>
      </c>
      <c r="C135">
        <v>55463826</v>
      </c>
      <c r="D135">
        <v>44801383</v>
      </c>
      <c r="E135">
        <v>54</v>
      </c>
      <c r="F135">
        <v>1</v>
      </c>
      <c r="G135">
        <v>1</v>
      </c>
      <c r="H135">
        <v>3</v>
      </c>
      <c r="I135" t="s">
        <v>467</v>
      </c>
      <c r="K135" t="s">
        <v>468</v>
      </c>
      <c r="L135">
        <v>1348</v>
      </c>
      <c r="N135">
        <v>1009</v>
      </c>
      <c r="O135" t="s">
        <v>36</v>
      </c>
      <c r="P135" t="s">
        <v>36</v>
      </c>
      <c r="Q135">
        <v>1000</v>
      </c>
      <c r="X135">
        <v>9.71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G135">
        <v>9.71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ROW(Source!A111)</f>
        <v>111</v>
      </c>
      <c r="B136">
        <v>55463845</v>
      </c>
      <c r="C136">
        <v>55463826</v>
      </c>
      <c r="D136">
        <v>44803293</v>
      </c>
      <c r="E136">
        <v>54</v>
      </c>
      <c r="F136">
        <v>1</v>
      </c>
      <c r="G136">
        <v>1</v>
      </c>
      <c r="H136">
        <v>3</v>
      </c>
      <c r="I136" t="s">
        <v>469</v>
      </c>
      <c r="K136" t="s">
        <v>470</v>
      </c>
      <c r="L136">
        <v>1327</v>
      </c>
      <c r="N136">
        <v>1005</v>
      </c>
      <c r="O136" t="s">
        <v>165</v>
      </c>
      <c r="P136" t="s">
        <v>165</v>
      </c>
      <c r="Q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G136">
        <v>0</v>
      </c>
      <c r="AH136">
        <v>3</v>
      </c>
      <c r="AI136">
        <v>-1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ROW(Source!A118)</f>
        <v>118</v>
      </c>
      <c r="B137">
        <v>55463862</v>
      </c>
      <c r="C137">
        <v>55463849</v>
      </c>
      <c r="D137">
        <v>53630071</v>
      </c>
      <c r="E137">
        <v>70</v>
      </c>
      <c r="F137">
        <v>1</v>
      </c>
      <c r="G137">
        <v>1</v>
      </c>
      <c r="H137">
        <v>1</v>
      </c>
      <c r="I137" t="s">
        <v>450</v>
      </c>
      <c r="K137" t="s">
        <v>451</v>
      </c>
      <c r="L137">
        <v>1191</v>
      </c>
      <c r="N137">
        <v>1013</v>
      </c>
      <c r="O137" t="s">
        <v>357</v>
      </c>
      <c r="P137" t="s">
        <v>357</v>
      </c>
      <c r="Q137">
        <v>1</v>
      </c>
      <c r="X137">
        <v>310.42</v>
      </c>
      <c r="Y137">
        <v>0</v>
      </c>
      <c r="Z137">
        <v>0</v>
      </c>
      <c r="AA137">
        <v>0</v>
      </c>
      <c r="AB137">
        <v>8.74</v>
      </c>
      <c r="AC137">
        <v>0</v>
      </c>
      <c r="AD137">
        <v>1</v>
      </c>
      <c r="AE137">
        <v>1</v>
      </c>
      <c r="AF137" t="s">
        <v>57</v>
      </c>
      <c r="AG137">
        <v>356.983</v>
      </c>
      <c r="AH137">
        <v>2</v>
      </c>
      <c r="AI137">
        <v>55463850</v>
      </c>
      <c r="AJ137">
        <v>139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ROW(Source!A118)</f>
        <v>118</v>
      </c>
      <c r="B138">
        <v>55463863</v>
      </c>
      <c r="C138">
        <v>55463849</v>
      </c>
      <c r="D138">
        <v>53630257</v>
      </c>
      <c r="E138">
        <v>70</v>
      </c>
      <c r="F138">
        <v>1</v>
      </c>
      <c r="G138">
        <v>1</v>
      </c>
      <c r="H138">
        <v>1</v>
      </c>
      <c r="I138" t="s">
        <v>358</v>
      </c>
      <c r="K138" t="s">
        <v>359</v>
      </c>
      <c r="L138">
        <v>1191</v>
      </c>
      <c r="N138">
        <v>1013</v>
      </c>
      <c r="O138" t="s">
        <v>357</v>
      </c>
      <c r="P138" t="s">
        <v>357</v>
      </c>
      <c r="Q138">
        <v>1</v>
      </c>
      <c r="X138">
        <v>1.73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56</v>
      </c>
      <c r="AG138">
        <v>2.1625</v>
      </c>
      <c r="AH138">
        <v>2</v>
      </c>
      <c r="AI138">
        <v>55463851</v>
      </c>
      <c r="AJ138">
        <v>140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ROW(Source!A118)</f>
        <v>118</v>
      </c>
      <c r="B139">
        <v>55463864</v>
      </c>
      <c r="C139">
        <v>55463849</v>
      </c>
      <c r="D139">
        <v>53791938</v>
      </c>
      <c r="E139">
        <v>1</v>
      </c>
      <c r="F139">
        <v>1</v>
      </c>
      <c r="G139">
        <v>1</v>
      </c>
      <c r="H139">
        <v>2</v>
      </c>
      <c r="I139" t="s">
        <v>452</v>
      </c>
      <c r="J139" t="s">
        <v>453</v>
      </c>
      <c r="K139" t="s">
        <v>454</v>
      </c>
      <c r="L139">
        <v>1367</v>
      </c>
      <c r="N139">
        <v>1011</v>
      </c>
      <c r="O139" t="s">
        <v>363</v>
      </c>
      <c r="P139" t="s">
        <v>363</v>
      </c>
      <c r="Q139">
        <v>1</v>
      </c>
      <c r="X139">
        <v>0.02</v>
      </c>
      <c r="Y139">
        <v>0</v>
      </c>
      <c r="Z139">
        <v>83.43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56</v>
      </c>
      <c r="AG139">
        <v>0.025</v>
      </c>
      <c r="AH139">
        <v>2</v>
      </c>
      <c r="AI139">
        <v>55463852</v>
      </c>
      <c r="AJ139">
        <v>141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ROW(Source!A118)</f>
        <v>118</v>
      </c>
      <c r="B140">
        <v>55463865</v>
      </c>
      <c r="C140">
        <v>55463849</v>
      </c>
      <c r="D140">
        <v>53791997</v>
      </c>
      <c r="E140">
        <v>1</v>
      </c>
      <c r="F140">
        <v>1</v>
      </c>
      <c r="G140">
        <v>1</v>
      </c>
      <c r="H140">
        <v>2</v>
      </c>
      <c r="I140" t="s">
        <v>419</v>
      </c>
      <c r="J140" t="s">
        <v>420</v>
      </c>
      <c r="K140" t="s">
        <v>421</v>
      </c>
      <c r="L140">
        <v>1367</v>
      </c>
      <c r="N140">
        <v>1011</v>
      </c>
      <c r="O140" t="s">
        <v>363</v>
      </c>
      <c r="P140" t="s">
        <v>363</v>
      </c>
      <c r="Q140">
        <v>1</v>
      </c>
      <c r="X140">
        <v>0.01</v>
      </c>
      <c r="Y140">
        <v>0</v>
      </c>
      <c r="Z140">
        <v>115.4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56</v>
      </c>
      <c r="AG140">
        <v>0.0125</v>
      </c>
      <c r="AH140">
        <v>2</v>
      </c>
      <c r="AI140">
        <v>55463853</v>
      </c>
      <c r="AJ140">
        <v>142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ROW(Source!A118)</f>
        <v>118</v>
      </c>
      <c r="B141">
        <v>55463866</v>
      </c>
      <c r="C141">
        <v>55463849</v>
      </c>
      <c r="D141">
        <v>53792314</v>
      </c>
      <c r="E141">
        <v>1</v>
      </c>
      <c r="F141">
        <v>1</v>
      </c>
      <c r="G141">
        <v>1</v>
      </c>
      <c r="H141">
        <v>2</v>
      </c>
      <c r="I141" t="s">
        <v>455</v>
      </c>
      <c r="J141" t="s">
        <v>456</v>
      </c>
      <c r="K141" t="s">
        <v>457</v>
      </c>
      <c r="L141">
        <v>1367</v>
      </c>
      <c r="N141">
        <v>1011</v>
      </c>
      <c r="O141" t="s">
        <v>363</v>
      </c>
      <c r="P141" t="s">
        <v>363</v>
      </c>
      <c r="Q141">
        <v>1</v>
      </c>
      <c r="X141">
        <v>1.69</v>
      </c>
      <c r="Y141">
        <v>0</v>
      </c>
      <c r="Z141">
        <v>12.39</v>
      </c>
      <c r="AA141">
        <v>10.06</v>
      </c>
      <c r="AB141">
        <v>0</v>
      </c>
      <c r="AC141">
        <v>0</v>
      </c>
      <c r="AD141">
        <v>1</v>
      </c>
      <c r="AE141">
        <v>0</v>
      </c>
      <c r="AF141" t="s">
        <v>56</v>
      </c>
      <c r="AG141">
        <v>2.1125</v>
      </c>
      <c r="AH141">
        <v>2</v>
      </c>
      <c r="AI141">
        <v>55463854</v>
      </c>
      <c r="AJ141">
        <v>143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ROW(Source!A118)</f>
        <v>118</v>
      </c>
      <c r="B142">
        <v>55463867</v>
      </c>
      <c r="C142">
        <v>55463849</v>
      </c>
      <c r="D142">
        <v>53792927</v>
      </c>
      <c r="E142">
        <v>1</v>
      </c>
      <c r="F142">
        <v>1</v>
      </c>
      <c r="G142">
        <v>1</v>
      </c>
      <c r="H142">
        <v>2</v>
      </c>
      <c r="I142" t="s">
        <v>390</v>
      </c>
      <c r="J142" t="s">
        <v>391</v>
      </c>
      <c r="K142" t="s">
        <v>392</v>
      </c>
      <c r="L142">
        <v>1367</v>
      </c>
      <c r="N142">
        <v>1011</v>
      </c>
      <c r="O142" t="s">
        <v>363</v>
      </c>
      <c r="P142" t="s">
        <v>363</v>
      </c>
      <c r="Q142">
        <v>1</v>
      </c>
      <c r="X142">
        <v>0.01</v>
      </c>
      <c r="Y142">
        <v>0</v>
      </c>
      <c r="Z142">
        <v>65.71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56</v>
      </c>
      <c r="AG142">
        <v>0.0125</v>
      </c>
      <c r="AH142">
        <v>2</v>
      </c>
      <c r="AI142">
        <v>55463855</v>
      </c>
      <c r="AJ142">
        <v>144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ROW(Source!A118)</f>
        <v>118</v>
      </c>
      <c r="B143">
        <v>55463868</v>
      </c>
      <c r="C143">
        <v>55463849</v>
      </c>
      <c r="D143">
        <v>53642555</v>
      </c>
      <c r="E143">
        <v>1</v>
      </c>
      <c r="F143">
        <v>1</v>
      </c>
      <c r="G143">
        <v>1</v>
      </c>
      <c r="H143">
        <v>3</v>
      </c>
      <c r="I143" t="s">
        <v>411</v>
      </c>
      <c r="J143" t="s">
        <v>412</v>
      </c>
      <c r="K143" t="s">
        <v>413</v>
      </c>
      <c r="L143">
        <v>1339</v>
      </c>
      <c r="N143">
        <v>1007</v>
      </c>
      <c r="O143" t="s">
        <v>160</v>
      </c>
      <c r="P143" t="s">
        <v>160</v>
      </c>
      <c r="Q143">
        <v>1</v>
      </c>
      <c r="X143">
        <v>0.44</v>
      </c>
      <c r="Y143">
        <v>2.44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0.44</v>
      </c>
      <c r="AH143">
        <v>2</v>
      </c>
      <c r="AI143">
        <v>55463856</v>
      </c>
      <c r="AJ143">
        <v>145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ROW(Source!A118)</f>
        <v>118</v>
      </c>
      <c r="B144">
        <v>55463869</v>
      </c>
      <c r="C144">
        <v>55463849</v>
      </c>
      <c r="D144">
        <v>53648059</v>
      </c>
      <c r="E144">
        <v>1</v>
      </c>
      <c r="F144">
        <v>1</v>
      </c>
      <c r="G144">
        <v>1</v>
      </c>
      <c r="H144">
        <v>3</v>
      </c>
      <c r="I144" t="s">
        <v>237</v>
      </c>
      <c r="J144" t="s">
        <v>239</v>
      </c>
      <c r="K144" t="s">
        <v>238</v>
      </c>
      <c r="L144">
        <v>1348</v>
      </c>
      <c r="N144">
        <v>1009</v>
      </c>
      <c r="O144" t="s">
        <v>36</v>
      </c>
      <c r="P144" t="s">
        <v>36</v>
      </c>
      <c r="Q144">
        <v>1000</v>
      </c>
      <c r="X144">
        <v>0.013</v>
      </c>
      <c r="Y144">
        <v>6513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0.013</v>
      </c>
      <c r="AH144">
        <v>2</v>
      </c>
      <c r="AI144">
        <v>55463857</v>
      </c>
      <c r="AJ144">
        <v>146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ROW(Source!A118)</f>
        <v>118</v>
      </c>
      <c r="B145">
        <v>55463870</v>
      </c>
      <c r="C145">
        <v>55463849</v>
      </c>
      <c r="D145">
        <v>53631842</v>
      </c>
      <c r="E145">
        <v>70</v>
      </c>
      <c r="F145">
        <v>1</v>
      </c>
      <c r="G145">
        <v>1</v>
      </c>
      <c r="H145">
        <v>3</v>
      </c>
      <c r="I145" t="s">
        <v>471</v>
      </c>
      <c r="K145" t="s">
        <v>472</v>
      </c>
      <c r="L145">
        <v>1327</v>
      </c>
      <c r="N145">
        <v>1005</v>
      </c>
      <c r="O145" t="s">
        <v>165</v>
      </c>
      <c r="P145" t="s">
        <v>165</v>
      </c>
      <c r="Q145">
        <v>1</v>
      </c>
      <c r="X145">
        <v>102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G145">
        <v>102</v>
      </c>
      <c r="AH145">
        <v>3</v>
      </c>
      <c r="AI145">
        <v>-1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ROW(Source!A118)</f>
        <v>118</v>
      </c>
      <c r="B146">
        <v>55463871</v>
      </c>
      <c r="C146">
        <v>55463849</v>
      </c>
      <c r="D146">
        <v>53632629</v>
      </c>
      <c r="E146">
        <v>70</v>
      </c>
      <c r="F146">
        <v>1</v>
      </c>
      <c r="G146">
        <v>1</v>
      </c>
      <c r="H146">
        <v>3</v>
      </c>
      <c r="I146" t="s">
        <v>473</v>
      </c>
      <c r="K146" t="s">
        <v>474</v>
      </c>
      <c r="L146">
        <v>1339</v>
      </c>
      <c r="N146">
        <v>1007</v>
      </c>
      <c r="O146" t="s">
        <v>160</v>
      </c>
      <c r="P146" t="s">
        <v>160</v>
      </c>
      <c r="Q146">
        <v>1</v>
      </c>
      <c r="X146">
        <v>0.01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G146">
        <v>0.01</v>
      </c>
      <c r="AH146">
        <v>3</v>
      </c>
      <c r="AI146">
        <v>-1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ROW(Source!A118)</f>
        <v>118</v>
      </c>
      <c r="B147">
        <v>55463872</v>
      </c>
      <c r="C147">
        <v>55463849</v>
      </c>
      <c r="D147">
        <v>53633156</v>
      </c>
      <c r="E147">
        <v>70</v>
      </c>
      <c r="F147">
        <v>1</v>
      </c>
      <c r="G147">
        <v>1</v>
      </c>
      <c r="H147">
        <v>3</v>
      </c>
      <c r="I147" t="s">
        <v>475</v>
      </c>
      <c r="K147" t="s">
        <v>476</v>
      </c>
      <c r="L147">
        <v>1348</v>
      </c>
      <c r="N147">
        <v>1009</v>
      </c>
      <c r="O147" t="s">
        <v>36</v>
      </c>
      <c r="P147" t="s">
        <v>36</v>
      </c>
      <c r="Q147">
        <v>1000</v>
      </c>
      <c r="X147">
        <v>1.2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G147">
        <v>1.2</v>
      </c>
      <c r="AH147">
        <v>3</v>
      </c>
      <c r="AI147">
        <v>-1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ROW(Source!A118)</f>
        <v>118</v>
      </c>
      <c r="B148">
        <v>55463873</v>
      </c>
      <c r="C148">
        <v>55463849</v>
      </c>
      <c r="D148">
        <v>53633288</v>
      </c>
      <c r="E148">
        <v>70</v>
      </c>
      <c r="F148">
        <v>1</v>
      </c>
      <c r="G148">
        <v>1</v>
      </c>
      <c r="H148">
        <v>3</v>
      </c>
      <c r="I148" t="s">
        <v>477</v>
      </c>
      <c r="K148" t="s">
        <v>478</v>
      </c>
      <c r="L148">
        <v>1348</v>
      </c>
      <c r="N148">
        <v>1009</v>
      </c>
      <c r="O148" t="s">
        <v>36</v>
      </c>
      <c r="P148" t="s">
        <v>36</v>
      </c>
      <c r="Q148">
        <v>1000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</v>
      </c>
      <c r="AD148">
        <v>0</v>
      </c>
      <c r="AE148">
        <v>0</v>
      </c>
      <c r="AG148">
        <v>0</v>
      </c>
      <c r="AH148">
        <v>3</v>
      </c>
      <c r="AI148">
        <v>-1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ROW(Source!A119)</f>
        <v>119</v>
      </c>
      <c r="B149">
        <v>55463862</v>
      </c>
      <c r="C149">
        <v>55463849</v>
      </c>
      <c r="D149">
        <v>53630071</v>
      </c>
      <c r="E149">
        <v>70</v>
      </c>
      <c r="F149">
        <v>1</v>
      </c>
      <c r="G149">
        <v>1</v>
      </c>
      <c r="H149">
        <v>1</v>
      </c>
      <c r="I149" t="s">
        <v>450</v>
      </c>
      <c r="K149" t="s">
        <v>451</v>
      </c>
      <c r="L149">
        <v>1191</v>
      </c>
      <c r="N149">
        <v>1013</v>
      </c>
      <c r="O149" t="s">
        <v>357</v>
      </c>
      <c r="P149" t="s">
        <v>357</v>
      </c>
      <c r="Q149">
        <v>1</v>
      </c>
      <c r="X149">
        <v>310.42</v>
      </c>
      <c r="Y149">
        <v>0</v>
      </c>
      <c r="Z149">
        <v>0</v>
      </c>
      <c r="AA149">
        <v>0</v>
      </c>
      <c r="AB149">
        <v>8.74</v>
      </c>
      <c r="AC149">
        <v>0</v>
      </c>
      <c r="AD149">
        <v>1</v>
      </c>
      <c r="AE149">
        <v>1</v>
      </c>
      <c r="AF149" t="s">
        <v>57</v>
      </c>
      <c r="AG149">
        <v>356.983</v>
      </c>
      <c r="AH149">
        <v>2</v>
      </c>
      <c r="AI149">
        <v>55463850</v>
      </c>
      <c r="AJ149">
        <v>151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ROW(Source!A119)</f>
        <v>119</v>
      </c>
      <c r="B150">
        <v>55463863</v>
      </c>
      <c r="C150">
        <v>55463849</v>
      </c>
      <c r="D150">
        <v>53630257</v>
      </c>
      <c r="E150">
        <v>70</v>
      </c>
      <c r="F150">
        <v>1</v>
      </c>
      <c r="G150">
        <v>1</v>
      </c>
      <c r="H150">
        <v>1</v>
      </c>
      <c r="I150" t="s">
        <v>358</v>
      </c>
      <c r="K150" t="s">
        <v>359</v>
      </c>
      <c r="L150">
        <v>1191</v>
      </c>
      <c r="N150">
        <v>1013</v>
      </c>
      <c r="O150" t="s">
        <v>357</v>
      </c>
      <c r="P150" t="s">
        <v>357</v>
      </c>
      <c r="Q150">
        <v>1</v>
      </c>
      <c r="X150">
        <v>1.73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56</v>
      </c>
      <c r="AG150">
        <v>2.1625</v>
      </c>
      <c r="AH150">
        <v>2</v>
      </c>
      <c r="AI150">
        <v>55463851</v>
      </c>
      <c r="AJ150">
        <v>152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ROW(Source!A119)</f>
        <v>119</v>
      </c>
      <c r="B151">
        <v>55463864</v>
      </c>
      <c r="C151">
        <v>55463849</v>
      </c>
      <c r="D151">
        <v>53791938</v>
      </c>
      <c r="E151">
        <v>1</v>
      </c>
      <c r="F151">
        <v>1</v>
      </c>
      <c r="G151">
        <v>1</v>
      </c>
      <c r="H151">
        <v>2</v>
      </c>
      <c r="I151" t="s">
        <v>452</v>
      </c>
      <c r="J151" t="s">
        <v>453</v>
      </c>
      <c r="K151" t="s">
        <v>454</v>
      </c>
      <c r="L151">
        <v>1367</v>
      </c>
      <c r="N151">
        <v>1011</v>
      </c>
      <c r="O151" t="s">
        <v>363</v>
      </c>
      <c r="P151" t="s">
        <v>363</v>
      </c>
      <c r="Q151">
        <v>1</v>
      </c>
      <c r="X151">
        <v>0.02</v>
      </c>
      <c r="Y151">
        <v>0</v>
      </c>
      <c r="Z151">
        <v>83.43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56</v>
      </c>
      <c r="AG151">
        <v>0.025</v>
      </c>
      <c r="AH151">
        <v>2</v>
      </c>
      <c r="AI151">
        <v>55463852</v>
      </c>
      <c r="AJ151">
        <v>153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ROW(Source!A119)</f>
        <v>119</v>
      </c>
      <c r="B152">
        <v>55463865</v>
      </c>
      <c r="C152">
        <v>55463849</v>
      </c>
      <c r="D152">
        <v>53791997</v>
      </c>
      <c r="E152">
        <v>1</v>
      </c>
      <c r="F152">
        <v>1</v>
      </c>
      <c r="G152">
        <v>1</v>
      </c>
      <c r="H152">
        <v>2</v>
      </c>
      <c r="I152" t="s">
        <v>419</v>
      </c>
      <c r="J152" t="s">
        <v>420</v>
      </c>
      <c r="K152" t="s">
        <v>421</v>
      </c>
      <c r="L152">
        <v>1367</v>
      </c>
      <c r="N152">
        <v>1011</v>
      </c>
      <c r="O152" t="s">
        <v>363</v>
      </c>
      <c r="P152" t="s">
        <v>363</v>
      </c>
      <c r="Q152">
        <v>1</v>
      </c>
      <c r="X152">
        <v>0.01</v>
      </c>
      <c r="Y152">
        <v>0</v>
      </c>
      <c r="Z152">
        <v>115.4</v>
      </c>
      <c r="AA152">
        <v>13.5</v>
      </c>
      <c r="AB152">
        <v>0</v>
      </c>
      <c r="AC152">
        <v>0</v>
      </c>
      <c r="AD152">
        <v>1</v>
      </c>
      <c r="AE152">
        <v>0</v>
      </c>
      <c r="AF152" t="s">
        <v>56</v>
      </c>
      <c r="AG152">
        <v>0.0125</v>
      </c>
      <c r="AH152">
        <v>2</v>
      </c>
      <c r="AI152">
        <v>55463853</v>
      </c>
      <c r="AJ152">
        <v>154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ROW(Source!A119)</f>
        <v>119</v>
      </c>
      <c r="B153">
        <v>55463866</v>
      </c>
      <c r="C153">
        <v>55463849</v>
      </c>
      <c r="D153">
        <v>53792314</v>
      </c>
      <c r="E153">
        <v>1</v>
      </c>
      <c r="F153">
        <v>1</v>
      </c>
      <c r="G153">
        <v>1</v>
      </c>
      <c r="H153">
        <v>2</v>
      </c>
      <c r="I153" t="s">
        <v>455</v>
      </c>
      <c r="J153" t="s">
        <v>456</v>
      </c>
      <c r="K153" t="s">
        <v>457</v>
      </c>
      <c r="L153">
        <v>1367</v>
      </c>
      <c r="N153">
        <v>1011</v>
      </c>
      <c r="O153" t="s">
        <v>363</v>
      </c>
      <c r="P153" t="s">
        <v>363</v>
      </c>
      <c r="Q153">
        <v>1</v>
      </c>
      <c r="X153">
        <v>1.69</v>
      </c>
      <c r="Y153">
        <v>0</v>
      </c>
      <c r="Z153">
        <v>12.39</v>
      </c>
      <c r="AA153">
        <v>10.06</v>
      </c>
      <c r="AB153">
        <v>0</v>
      </c>
      <c r="AC153">
        <v>0</v>
      </c>
      <c r="AD153">
        <v>1</v>
      </c>
      <c r="AE153">
        <v>0</v>
      </c>
      <c r="AF153" t="s">
        <v>56</v>
      </c>
      <c r="AG153">
        <v>2.1125</v>
      </c>
      <c r="AH153">
        <v>2</v>
      </c>
      <c r="AI153">
        <v>55463854</v>
      </c>
      <c r="AJ153">
        <v>155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ROW(Source!A119)</f>
        <v>119</v>
      </c>
      <c r="B154">
        <v>55463867</v>
      </c>
      <c r="C154">
        <v>55463849</v>
      </c>
      <c r="D154">
        <v>53792927</v>
      </c>
      <c r="E154">
        <v>1</v>
      </c>
      <c r="F154">
        <v>1</v>
      </c>
      <c r="G154">
        <v>1</v>
      </c>
      <c r="H154">
        <v>2</v>
      </c>
      <c r="I154" t="s">
        <v>390</v>
      </c>
      <c r="J154" t="s">
        <v>391</v>
      </c>
      <c r="K154" t="s">
        <v>392</v>
      </c>
      <c r="L154">
        <v>1367</v>
      </c>
      <c r="N154">
        <v>1011</v>
      </c>
      <c r="O154" t="s">
        <v>363</v>
      </c>
      <c r="P154" t="s">
        <v>363</v>
      </c>
      <c r="Q154">
        <v>1</v>
      </c>
      <c r="X154">
        <v>0.01</v>
      </c>
      <c r="Y154">
        <v>0</v>
      </c>
      <c r="Z154">
        <v>65.71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56</v>
      </c>
      <c r="AG154">
        <v>0.0125</v>
      </c>
      <c r="AH154">
        <v>2</v>
      </c>
      <c r="AI154">
        <v>55463855</v>
      </c>
      <c r="AJ154">
        <v>156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ROW(Source!A119)</f>
        <v>119</v>
      </c>
      <c r="B155">
        <v>55463868</v>
      </c>
      <c r="C155">
        <v>55463849</v>
      </c>
      <c r="D155">
        <v>53642555</v>
      </c>
      <c r="E155">
        <v>1</v>
      </c>
      <c r="F155">
        <v>1</v>
      </c>
      <c r="G155">
        <v>1</v>
      </c>
      <c r="H155">
        <v>3</v>
      </c>
      <c r="I155" t="s">
        <v>411</v>
      </c>
      <c r="J155" t="s">
        <v>412</v>
      </c>
      <c r="K155" t="s">
        <v>413</v>
      </c>
      <c r="L155">
        <v>1339</v>
      </c>
      <c r="N155">
        <v>1007</v>
      </c>
      <c r="O155" t="s">
        <v>160</v>
      </c>
      <c r="P155" t="s">
        <v>160</v>
      </c>
      <c r="Q155">
        <v>1</v>
      </c>
      <c r="X155">
        <v>0.44</v>
      </c>
      <c r="Y155">
        <v>2.44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0.44</v>
      </c>
      <c r="AH155">
        <v>2</v>
      </c>
      <c r="AI155">
        <v>55463856</v>
      </c>
      <c r="AJ155">
        <v>157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ROW(Source!A119)</f>
        <v>119</v>
      </c>
      <c r="B156">
        <v>55463869</v>
      </c>
      <c r="C156">
        <v>55463849</v>
      </c>
      <c r="D156">
        <v>53648059</v>
      </c>
      <c r="E156">
        <v>1</v>
      </c>
      <c r="F156">
        <v>1</v>
      </c>
      <c r="G156">
        <v>1</v>
      </c>
      <c r="H156">
        <v>3</v>
      </c>
      <c r="I156" t="s">
        <v>237</v>
      </c>
      <c r="J156" t="s">
        <v>239</v>
      </c>
      <c r="K156" t="s">
        <v>238</v>
      </c>
      <c r="L156">
        <v>1348</v>
      </c>
      <c r="N156">
        <v>1009</v>
      </c>
      <c r="O156" t="s">
        <v>36</v>
      </c>
      <c r="P156" t="s">
        <v>36</v>
      </c>
      <c r="Q156">
        <v>1000</v>
      </c>
      <c r="X156">
        <v>0.013</v>
      </c>
      <c r="Y156">
        <v>6513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0.013</v>
      </c>
      <c r="AH156">
        <v>2</v>
      </c>
      <c r="AI156">
        <v>55463857</v>
      </c>
      <c r="AJ156">
        <v>158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ROW(Source!A119)</f>
        <v>119</v>
      </c>
      <c r="B157">
        <v>55463870</v>
      </c>
      <c r="C157">
        <v>55463849</v>
      </c>
      <c r="D157">
        <v>53631842</v>
      </c>
      <c r="E157">
        <v>70</v>
      </c>
      <c r="F157">
        <v>1</v>
      </c>
      <c r="G157">
        <v>1</v>
      </c>
      <c r="H157">
        <v>3</v>
      </c>
      <c r="I157" t="s">
        <v>471</v>
      </c>
      <c r="K157" t="s">
        <v>472</v>
      </c>
      <c r="L157">
        <v>1327</v>
      </c>
      <c r="N157">
        <v>1005</v>
      </c>
      <c r="O157" t="s">
        <v>165</v>
      </c>
      <c r="P157" t="s">
        <v>165</v>
      </c>
      <c r="Q157">
        <v>1</v>
      </c>
      <c r="X157">
        <v>102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G157">
        <v>102</v>
      </c>
      <c r="AH157">
        <v>3</v>
      </c>
      <c r="AI157">
        <v>-1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ROW(Source!A119)</f>
        <v>119</v>
      </c>
      <c r="B158">
        <v>55463871</v>
      </c>
      <c r="C158">
        <v>55463849</v>
      </c>
      <c r="D158">
        <v>53632629</v>
      </c>
      <c r="E158">
        <v>70</v>
      </c>
      <c r="F158">
        <v>1</v>
      </c>
      <c r="G158">
        <v>1</v>
      </c>
      <c r="H158">
        <v>3</v>
      </c>
      <c r="I158" t="s">
        <v>473</v>
      </c>
      <c r="K158" t="s">
        <v>474</v>
      </c>
      <c r="L158">
        <v>1339</v>
      </c>
      <c r="N158">
        <v>1007</v>
      </c>
      <c r="O158" t="s">
        <v>160</v>
      </c>
      <c r="P158" t="s">
        <v>160</v>
      </c>
      <c r="Q158">
        <v>1</v>
      </c>
      <c r="X158">
        <v>0.01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G158">
        <v>0.01</v>
      </c>
      <c r="AH158">
        <v>3</v>
      </c>
      <c r="AI158">
        <v>-1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ROW(Source!A119)</f>
        <v>119</v>
      </c>
      <c r="B159">
        <v>55463872</v>
      </c>
      <c r="C159">
        <v>55463849</v>
      </c>
      <c r="D159">
        <v>53633156</v>
      </c>
      <c r="E159">
        <v>70</v>
      </c>
      <c r="F159">
        <v>1</v>
      </c>
      <c r="G159">
        <v>1</v>
      </c>
      <c r="H159">
        <v>3</v>
      </c>
      <c r="I159" t="s">
        <v>475</v>
      </c>
      <c r="K159" t="s">
        <v>476</v>
      </c>
      <c r="L159">
        <v>1348</v>
      </c>
      <c r="N159">
        <v>1009</v>
      </c>
      <c r="O159" t="s">
        <v>36</v>
      </c>
      <c r="P159" t="s">
        <v>36</v>
      </c>
      <c r="Q159">
        <v>1000</v>
      </c>
      <c r="X159">
        <v>1.2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G159">
        <v>1.2</v>
      </c>
      <c r="AH159">
        <v>3</v>
      </c>
      <c r="AI159">
        <v>-1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ROW(Source!A119)</f>
        <v>119</v>
      </c>
      <c r="B160">
        <v>55463873</v>
      </c>
      <c r="C160">
        <v>55463849</v>
      </c>
      <c r="D160">
        <v>53633288</v>
      </c>
      <c r="E160">
        <v>70</v>
      </c>
      <c r="F160">
        <v>1</v>
      </c>
      <c r="G160">
        <v>1</v>
      </c>
      <c r="H160">
        <v>3</v>
      </c>
      <c r="I160" t="s">
        <v>477</v>
      </c>
      <c r="K160" t="s">
        <v>478</v>
      </c>
      <c r="L160">
        <v>1348</v>
      </c>
      <c r="N160">
        <v>1009</v>
      </c>
      <c r="O160" t="s">
        <v>36</v>
      </c>
      <c r="P160" t="s">
        <v>36</v>
      </c>
      <c r="Q160">
        <v>1000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G160">
        <v>0</v>
      </c>
      <c r="AH160">
        <v>3</v>
      </c>
      <c r="AI160">
        <v>-1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2023-06-06T12:25:49Z</dcterms:created>
  <dcterms:modified xsi:type="dcterms:W3CDTF">2023-06-28T10:26:54Z</dcterms:modified>
  <cp:category/>
  <cp:version/>
  <cp:contentType/>
  <cp:contentStatus/>
</cp:coreProperties>
</file>